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15" windowWidth="11580" windowHeight="471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<sst xmlns="http://schemas.openxmlformats.org/spreadsheetml/2006/main" count="156" uniqueCount="111">
  <si>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</si>
  <si>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</si>
  <si>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</si>
  <si>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</si>
  <si>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</si>
  <si>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</si>
  <si>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</si>
  <si>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</si>
  <si>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</si>
  <si>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</si>
  <si>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</si>
  <si>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</si>
  <si>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</si>
  <si>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</si>
  <si>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</si>
  <si>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</si>
  <si>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</si>
  <si>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</si>
  <si>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</si>
  <si>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</si>
  <si>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</si>
  <si>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</si>
  <si>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Надання пільг.довгостр.кредиту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</si>
  <si>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</si>
  <si>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</si>
  <si>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</si>
  <si>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</si>
  <si>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</si>
  <si>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</si>
  <si>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</si>
  <si>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</si>
  <si>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</si>
  <si>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</si>
  <si>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</si>
  <si>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</si>
  <si>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</si>
  <si>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</si>
  <si>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</si>
  <si>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</si>
  <si>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</si>
  <si>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</si>
  <si>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</si>
  <si>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</si>
  <si>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</si>
  <si>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</si>
  <si>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</si>
  <si>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</si>
  <si>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</si>
  <si>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</si>
  <si>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</si>
  <si>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</si>
  <si>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</si>
  <si>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</si>
  <si>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</si>
  <si>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</si>
  <si>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</si>
  <si>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</si>
  <si>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</si>
  <si>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</si>
  <si>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</si>
  <si>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</si>
  <si>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</si>
  <si>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</si>
  <si>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</si>
  <si>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</si>
  <si>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</si>
  <si>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</si>
  <si>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</si>
  <si>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</si>
  <si>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</si>
  <si>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</si>
  <si>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</si>
  <si>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</si>
  <si>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</si>
  <si>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</si>
  <si>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</si>
  <si>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</si>
  <si>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</si>
  <si>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</si>
  <si>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</si>
  <si>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</si>
  <si>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</si>
  <si>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</si>
  <si>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</si>
  <si>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</si>
  <si>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</si>
  <si>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</si>
  <si>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</si>
  <si>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</si>
  <si>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</si>
  <si>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</si>
  <si>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</si>
  <si>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</si>
  <si>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</si>
  <si>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</si>
  <si>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</si>
  <si>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</si>
  <si>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</si>
  <si>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</si>
  <si>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</si>
  <si>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</si>
  <si>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</si>
  <si>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</si>
  <si>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</si>
  <si>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тимчасовий план на 1 півріччя, тис.грн.</t>
  </si>
  <si>
    <t>Відсоток виконання тимчасового плану на 1 півріччя</t>
  </si>
  <si>
    <t>Відхилення від тимчасовго плану на 1 півріччя, тис.грн.</t>
  </si>
  <si>
    <t>тимчасовий план на 2 місяці, тис.грн.</t>
  </si>
  <si>
    <t>Відсоток виконання тимчасового плану 2-х місяців</t>
  </si>
  <si>
    <t>Відхилення від тимчасового плану 2-х місяців, тис.грн.</t>
  </si>
  <si>
    <t>Аналіз використання коштів міського бюджету за 2014 рік станом на 19.02.2014 року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</si>
</sst>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33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33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33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33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33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33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33" borderId="13" xfId="0" applyNumberFormat="1" applyFont="1" applyFill="1" applyBorder="1" applyAlignment="1">
      <alignment wrapText="1"/>
    </xf>
    <xf numFmtId="201" fontId="5" fillId="33" borderId="13" xfId="0" applyNumberFormat="1" applyFont="1" applyFill="1" applyBorder="1" applyAlignment="1">
      <alignment/>
    </xf>
    <xf numFmtId="201" fontId="5" fillId="33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33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33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33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33" borderId="17" xfId="0" applyNumberFormat="1" applyFont="1" applyFill="1" applyBorder="1" applyAlignment="1">
      <alignment wrapText="1"/>
    </xf>
    <xf numFmtId="201" fontId="5" fillId="33" borderId="17" xfId="0" applyNumberFormat="1" applyFont="1" applyFill="1" applyBorder="1" applyAlignment="1">
      <alignment/>
    </xf>
    <xf numFmtId="201" fontId="5" fillId="33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33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wrapText="1"/>
    </xf>
    <xf numFmtId="201" fontId="5" fillId="33" borderId="16" xfId="0" applyNumberFormat="1" applyFont="1" applyFill="1" applyBorder="1" applyAlignment="1">
      <alignment/>
    </xf>
    <xf numFmtId="189" fontId="5" fillId="33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34" borderId="0" xfId="0" applyFont="1" applyFill="1" applyAlignment="1">
      <alignment/>
    </xf>
    <xf numFmtId="201" fontId="6" fillId="33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33" borderId="13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22487.4</c:v>
                </c:pt>
                <c:pt idx="1">
                  <c:v>18878.8</c:v>
                </c:pt>
                <c:pt idx="2">
                  <c:v>1104.3</c:v>
                </c:pt>
                <c:pt idx="3">
                  <c:v>2504.300000000002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4769.4</c:v>
                </c:pt>
                <c:pt idx="1">
                  <c:v>4079.8</c:v>
                </c:pt>
                <c:pt idx="2">
                  <c:v>231.8</c:v>
                </c:pt>
                <c:pt idx="3">
                  <c:v>457.79999999999944</c:v>
                </c:pt>
              </c:numCache>
            </c:numRef>
          </c:val>
          <c:shape val="box"/>
        </c:ser>
        <c:shape val="box"/>
        <c:axId val="46593515"/>
        <c:axId val="1735920"/>
      </c:bar3DChart>
      <c:catAx>
        <c:axId val="46593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35920"/>
        <c:crosses val="autoZero"/>
        <c:auto val="1"/>
        <c:lblOffset val="100"/>
        <c:tickLblSkip val="1"/>
        <c:noMultiLvlLbl val="0"/>
      </c:catAx>
      <c:valAx>
        <c:axId val="1735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935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140003.30000000002</c:v>
                </c:pt>
                <c:pt idx="1">
                  <c:v>111575.9</c:v>
                </c:pt>
                <c:pt idx="2">
                  <c:v>7.6</c:v>
                </c:pt>
                <c:pt idx="3">
                  <c:v>8641.5</c:v>
                </c:pt>
                <c:pt idx="4">
                  <c:v>19014.8</c:v>
                </c:pt>
                <c:pt idx="5">
                  <c:v>232.9</c:v>
                </c:pt>
                <c:pt idx="6">
                  <c:v>530.6000000000255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28603.100000000002</c:v>
                </c:pt>
                <c:pt idx="1">
                  <c:v>26068</c:v>
                </c:pt>
                <c:pt idx="2">
                  <c:v>0.1</c:v>
                </c:pt>
                <c:pt idx="3">
                  <c:v>2299</c:v>
                </c:pt>
                <c:pt idx="4">
                  <c:v>167.9</c:v>
                </c:pt>
                <c:pt idx="5">
                  <c:v>4</c:v>
                </c:pt>
                <c:pt idx="6">
                  <c:v>64.10000000000227</c:v>
                </c:pt>
              </c:numCache>
            </c:numRef>
          </c:val>
          <c:shape val="box"/>
        </c:ser>
        <c:shape val="box"/>
        <c:axId val="22566961"/>
        <c:axId val="24935038"/>
      </c:bar3DChart>
      <c:catAx>
        <c:axId val="22566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35038"/>
        <c:crosses val="autoZero"/>
        <c:auto val="1"/>
        <c:lblOffset val="100"/>
        <c:tickLblSkip val="1"/>
        <c:noMultiLvlLbl val="0"/>
      </c:catAx>
      <c:valAx>
        <c:axId val="24935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669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96430</c:v>
                </c:pt>
                <c:pt idx="1">
                  <c:v>75362.8</c:v>
                </c:pt>
                <c:pt idx="2">
                  <c:v>3430.8</c:v>
                </c:pt>
                <c:pt idx="3">
                  <c:v>1299.7</c:v>
                </c:pt>
                <c:pt idx="4">
                  <c:v>9811.5</c:v>
                </c:pt>
                <c:pt idx="5">
                  <c:v>682.5</c:v>
                </c:pt>
                <c:pt idx="6">
                  <c:v>5842.699999999997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19758.4</c:v>
                </c:pt>
                <c:pt idx="1">
                  <c:v>17172.9</c:v>
                </c:pt>
                <c:pt idx="2">
                  <c:v>418.70000000000005</c:v>
                </c:pt>
                <c:pt idx="3">
                  <c:v>308</c:v>
                </c:pt>
                <c:pt idx="4">
                  <c:v>351.80000000000007</c:v>
                </c:pt>
                <c:pt idx="5">
                  <c:v>219</c:v>
                </c:pt>
                <c:pt idx="6">
                  <c:v>1288</c:v>
                </c:pt>
              </c:numCache>
            </c:numRef>
          </c:val>
          <c:shape val="box"/>
        </c:ser>
        <c:shape val="box"/>
        <c:axId val="55720039"/>
        <c:axId val="53271868"/>
      </c:bar3DChart>
      <c:catAx>
        <c:axId val="55720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71868"/>
        <c:crosses val="autoZero"/>
        <c:auto val="1"/>
        <c:lblOffset val="100"/>
        <c:tickLblSkip val="1"/>
        <c:noMultiLvlLbl val="0"/>
      </c:catAx>
      <c:valAx>
        <c:axId val="53271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200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18423.5</c:v>
                </c:pt>
                <c:pt idx="1">
                  <c:v>13955.3</c:v>
                </c:pt>
                <c:pt idx="2">
                  <c:v>968.7</c:v>
                </c:pt>
                <c:pt idx="3">
                  <c:v>348.6</c:v>
                </c:pt>
                <c:pt idx="4">
                  <c:v>12</c:v>
                </c:pt>
                <c:pt idx="5">
                  <c:v>3138.900000000001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4130.099999999999</c:v>
                </c:pt>
                <c:pt idx="1">
                  <c:v>3384.2</c:v>
                </c:pt>
                <c:pt idx="2">
                  <c:v>23.5</c:v>
                </c:pt>
                <c:pt idx="3">
                  <c:v>51.5</c:v>
                </c:pt>
                <c:pt idx="5">
                  <c:v>670.8999999999996</c:v>
                </c:pt>
              </c:numCache>
            </c:numRef>
          </c:val>
          <c:shape val="box"/>
        </c:ser>
        <c:shape val="box"/>
        <c:axId val="21445645"/>
        <c:axId val="10357930"/>
      </c:bar3DChart>
      <c:catAx>
        <c:axId val="2144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57930"/>
        <c:crosses val="autoZero"/>
        <c:auto val="1"/>
        <c:lblOffset val="100"/>
        <c:tickLblSkip val="1"/>
        <c:noMultiLvlLbl val="0"/>
      </c:catAx>
      <c:valAx>
        <c:axId val="10357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456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6186.2</c:v>
                </c:pt>
                <c:pt idx="1">
                  <c:v>3863.4</c:v>
                </c:pt>
                <c:pt idx="2">
                  <c:v>156.7</c:v>
                </c:pt>
                <c:pt idx="3">
                  <c:v>288.6</c:v>
                </c:pt>
                <c:pt idx="4">
                  <c:v>1877.4999999999998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1269.3999999999999</c:v>
                </c:pt>
                <c:pt idx="1">
                  <c:v>906.0999999999999</c:v>
                </c:pt>
                <c:pt idx="2">
                  <c:v>6.6</c:v>
                </c:pt>
                <c:pt idx="3">
                  <c:v>17</c:v>
                </c:pt>
                <c:pt idx="4">
                  <c:v>339.69999999999993</c:v>
                </c:pt>
              </c:numCache>
            </c:numRef>
          </c:val>
          <c:shape val="box"/>
        </c:ser>
        <c:shape val="box"/>
        <c:axId val="435363"/>
        <c:axId val="5659720"/>
      </c:bar3DChart>
      <c:catAx>
        <c:axId val="435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9720"/>
        <c:crosses val="autoZero"/>
        <c:auto val="1"/>
        <c:lblOffset val="100"/>
        <c:tickLblSkip val="2"/>
        <c:noMultiLvlLbl val="0"/>
      </c:catAx>
      <c:valAx>
        <c:axId val="5659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3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1293.9999999999998</c:v>
                </c:pt>
                <c:pt idx="1">
                  <c:v>656.2</c:v>
                </c:pt>
                <c:pt idx="2">
                  <c:v>139.7</c:v>
                </c:pt>
                <c:pt idx="3">
                  <c:v>439.5</c:v>
                </c:pt>
                <c:pt idx="4">
                  <c:v>58.59999999999974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273.3</c:v>
                </c:pt>
                <c:pt idx="1">
                  <c:v>244.8</c:v>
                </c:pt>
                <c:pt idx="2">
                  <c:v>4.6</c:v>
                </c:pt>
                <c:pt idx="4">
                  <c:v>23.9</c:v>
                </c:pt>
              </c:numCache>
            </c:numRef>
          </c:val>
          <c:shape val="box"/>
        </c:ser>
        <c:shape val="box"/>
        <c:axId val="6467497"/>
        <c:axId val="16968598"/>
      </c:bar3DChart>
      <c:catAx>
        <c:axId val="6467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968598"/>
        <c:crosses val="autoZero"/>
        <c:auto val="1"/>
        <c:lblOffset val="100"/>
        <c:tickLblSkip val="1"/>
        <c:noMultiLvlLbl val="0"/>
      </c:catAx>
      <c:valAx>
        <c:axId val="169685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74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5241.8</c:v>
                </c:pt>
              </c:numCache>
            </c:numRef>
          </c:val>
          <c:shape val="box"/>
        </c:ser>
        <c:shape val="box"/>
        <c:axId val="19265183"/>
        <c:axId val="49120788"/>
      </c:bar3DChart>
      <c:catAx>
        <c:axId val="19265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120788"/>
        <c:crosses val="autoZero"/>
        <c:auto val="1"/>
        <c:lblOffset val="100"/>
        <c:tickLblSkip val="1"/>
        <c:noMultiLvlLbl val="0"/>
      </c:catAx>
      <c:valAx>
        <c:axId val="49120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651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140003.30000000002</c:v>
                </c:pt>
                <c:pt idx="1">
                  <c:v>96430</c:v>
                </c:pt>
                <c:pt idx="2">
                  <c:v>18423.5</c:v>
                </c:pt>
                <c:pt idx="3">
                  <c:v>6186.2</c:v>
                </c:pt>
                <c:pt idx="4">
                  <c:v>1293.9999999999998</c:v>
                </c:pt>
                <c:pt idx="5">
                  <c:v>22487.4</c:v>
                </c:pt>
                <c:pt idx="6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28603.100000000002</c:v>
                </c:pt>
                <c:pt idx="1">
                  <c:v>19758.4</c:v>
                </c:pt>
                <c:pt idx="2">
                  <c:v>4130.099999999999</c:v>
                </c:pt>
                <c:pt idx="3">
                  <c:v>1269.3999999999999</c:v>
                </c:pt>
                <c:pt idx="4">
                  <c:v>273.3</c:v>
                </c:pt>
                <c:pt idx="5">
                  <c:v>4769.4</c:v>
                </c:pt>
                <c:pt idx="6">
                  <c:v>5241.8</c:v>
                </c:pt>
              </c:numCache>
            </c:numRef>
          </c:val>
          <c:shape val="box"/>
        </c:ser>
        <c:shape val="box"/>
        <c:axId val="34590469"/>
        <c:axId val="47022914"/>
      </c:bar3DChart>
      <c:catAx>
        <c:axId val="34590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22914"/>
        <c:crosses val="autoZero"/>
        <c:auto val="1"/>
        <c:lblOffset val="100"/>
        <c:tickLblSkip val="1"/>
        <c:noMultiLvlLbl val="0"/>
      </c:catAx>
      <c:valAx>
        <c:axId val="470229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904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227074.3</c:v>
                </c:pt>
                <c:pt idx="1">
                  <c:v>31832.1</c:v>
                </c:pt>
                <c:pt idx="2">
                  <c:v>10146.300000000001</c:v>
                </c:pt>
                <c:pt idx="3">
                  <c:v>3397.9</c:v>
                </c:pt>
                <c:pt idx="4">
                  <c:v>3438.4</c:v>
                </c:pt>
                <c:pt idx="5">
                  <c:v>39900.90000000003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52517.100000000006</c:v>
                </c:pt>
                <c:pt idx="1">
                  <c:v>827.7</c:v>
                </c:pt>
                <c:pt idx="2">
                  <c:v>2616.7999999999997</c:v>
                </c:pt>
                <c:pt idx="3">
                  <c:v>706.7</c:v>
                </c:pt>
                <c:pt idx="4">
                  <c:v>418.80000000000007</c:v>
                </c:pt>
                <c:pt idx="5">
                  <c:v>10574.699999999997</c:v>
                </c:pt>
              </c:numCache>
            </c:numRef>
          </c:val>
          <c:shape val="box"/>
        </c:ser>
        <c:shape val="box"/>
        <c:axId val="7318107"/>
        <c:axId val="28026528"/>
      </c:bar3DChart>
      <c:catAx>
        <c:axId val="7318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26528"/>
        <c:crosses val="autoZero"/>
        <c:auto val="1"/>
        <c:lblOffset val="100"/>
        <c:tickLblSkip val="1"/>
        <c:noMultiLvlLbl val="0"/>
      </c:catAx>
      <c:valAx>
        <c:axId val="28026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181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10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14" sqref="K114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18" t="s">
        <v>110</v>
      </c>
      <c r="B1" s="118"/>
      <c r="C1" s="118"/>
      <c r="D1" s="118"/>
      <c r="E1" s="118"/>
      <c r="F1" s="118"/>
      <c r="G1" s="118"/>
      <c r="H1" s="118"/>
      <c r="I1" s="118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2" t="s">
        <v>51</v>
      </c>
      <c r="B3" s="119" t="s">
        <v>107</v>
      </c>
      <c r="C3" s="119" t="s">
        <v>104</v>
      </c>
      <c r="D3" s="119" t="s">
        <v>30</v>
      </c>
      <c r="E3" s="119" t="s">
        <v>29</v>
      </c>
      <c r="F3" s="119" t="s">
        <v>108</v>
      </c>
      <c r="G3" s="119" t="s">
        <v>105</v>
      </c>
      <c r="H3" s="119" t="s">
        <v>109</v>
      </c>
      <c r="I3" s="119" t="s">
        <v>106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54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30" t="s">
        <v>35</v>
      </c>
      <c r="B6" s="55">
        <v>46702.3</v>
      </c>
      <c r="C6" s="56">
        <f>139031.6+971.7</f>
        <v>140003.30000000002</v>
      </c>
      <c r="D6" s="57">
        <f>7985.1+539+415.1+9890.7+509.1+95.4+495.3+8129.6+543.8</f>
        <v>28603.100000000002</v>
      </c>
      <c r="E6" s="3">
        <f>D6/D134*100</f>
        <v>42.27363150256127</v>
      </c>
      <c r="F6" s="3">
        <f>D6/B6*100</f>
        <v>61.24559175886412</v>
      </c>
      <c r="G6" s="3">
        <f aca="true" t="shared" si="0" ref="G6:G41">D6/C6*100</f>
        <v>20.43030414283092</v>
      </c>
      <c r="H6" s="3">
        <f>B6-D6</f>
        <v>18099.2</v>
      </c>
      <c r="I6" s="3">
        <f aca="true" t="shared" si="1" ref="I6:I41">C6-D6</f>
        <v>111400.20000000001</v>
      </c>
    </row>
    <row r="7" spans="1:9" ht="18">
      <c r="A7" s="31" t="s">
        <v>3</v>
      </c>
      <c r="B7" s="52">
        <v>37188</v>
      </c>
      <c r="C7" s="53">
        <f>110781+795-0.1</f>
        <v>111575.9</v>
      </c>
      <c r="D7" s="54">
        <f>7985.1+61.4+9890.7+1.2+8129.6</f>
        <v>26068</v>
      </c>
      <c r="E7" s="1">
        <f>D7/D6*100</f>
        <v>91.13697466358542</v>
      </c>
      <c r="F7" s="1">
        <f>D7/B7*100</f>
        <v>70.09788103689361</v>
      </c>
      <c r="G7" s="1">
        <f t="shared" si="0"/>
        <v>23.36346827585527</v>
      </c>
      <c r="H7" s="1">
        <f>B7-D7</f>
        <v>11120</v>
      </c>
      <c r="I7" s="1">
        <f t="shared" si="1"/>
        <v>85507.9</v>
      </c>
    </row>
    <row r="8" spans="1:9" ht="18">
      <c r="A8" s="31" t="s">
        <v>2</v>
      </c>
      <c r="B8" s="52">
        <v>3</v>
      </c>
      <c r="C8" s="53">
        <v>7.6</v>
      </c>
      <c r="D8" s="54">
        <f>0.1</f>
        <v>0.1</v>
      </c>
      <c r="E8" s="13">
        <f>D8/D6*100</f>
        <v>0.00034961245459408244</v>
      </c>
      <c r="F8" s="1">
        <f>D8/B8*100</f>
        <v>3.3333333333333335</v>
      </c>
      <c r="G8" s="1">
        <f t="shared" si="0"/>
        <v>1.3157894736842106</v>
      </c>
      <c r="H8" s="1">
        <f aca="true" t="shared" si="2" ref="H8:H30">B8-D8</f>
        <v>2.9</v>
      </c>
      <c r="I8" s="1">
        <f t="shared" si="1"/>
        <v>7.5</v>
      </c>
    </row>
    <row r="9" spans="1:9" ht="18">
      <c r="A9" s="31" t="s">
        <v>1</v>
      </c>
      <c r="B9" s="52">
        <v>2999.1</v>
      </c>
      <c r="C9" s="53">
        <v>8641.5</v>
      </c>
      <c r="D9" s="58">
        <f>538.7+346.9+429.4+56.3+419.6+508.1</f>
        <v>2299</v>
      </c>
      <c r="E9" s="1">
        <f>D9/D6*100</f>
        <v>8.037590331117956</v>
      </c>
      <c r="F9" s="1">
        <f aca="true" t="shared" si="3" ref="F9:F39">D9/B9*100</f>
        <v>76.65633023240306</v>
      </c>
      <c r="G9" s="1">
        <f t="shared" si="0"/>
        <v>26.60417751547764</v>
      </c>
      <c r="H9" s="1">
        <f t="shared" si="2"/>
        <v>700.0999999999999</v>
      </c>
      <c r="I9" s="1">
        <f t="shared" si="1"/>
        <v>6342.5</v>
      </c>
    </row>
    <row r="10" spans="1:9" ht="18">
      <c r="A10" s="31" t="s">
        <v>0</v>
      </c>
      <c r="B10" s="52">
        <v>6344.3</v>
      </c>
      <c r="C10" s="53">
        <f>18870.2+144.6</f>
        <v>19014.8</v>
      </c>
      <c r="D10" s="59">
        <f>1.1+76.7+36.7+34.9+18.5</f>
        <v>167.9</v>
      </c>
      <c r="E10" s="1">
        <f>D10/D6*100</f>
        <v>0.5869993112634644</v>
      </c>
      <c r="F10" s="1">
        <f t="shared" si="3"/>
        <v>2.6464700597386632</v>
      </c>
      <c r="G10" s="1">
        <f t="shared" si="0"/>
        <v>0.882996402802028</v>
      </c>
      <c r="H10" s="1">
        <f t="shared" si="2"/>
        <v>6176.400000000001</v>
      </c>
      <c r="I10" s="1">
        <f t="shared" si="1"/>
        <v>18846.899999999998</v>
      </c>
    </row>
    <row r="11" spans="1:9" ht="18">
      <c r="A11" s="31" t="s">
        <v>15</v>
      </c>
      <c r="B11" s="52">
        <v>20.7</v>
      </c>
      <c r="C11" s="53">
        <v>232.9</v>
      </c>
      <c r="D11" s="54">
        <f>4</f>
        <v>4</v>
      </c>
      <c r="E11" s="1">
        <f>D11/D6*100</f>
        <v>0.013984498183763298</v>
      </c>
      <c r="F11" s="1">
        <f t="shared" si="3"/>
        <v>19.32367149758454</v>
      </c>
      <c r="G11" s="1">
        <f t="shared" si="0"/>
        <v>1.7174753112924002</v>
      </c>
      <c r="H11" s="1">
        <f t="shared" si="2"/>
        <v>16.7</v>
      </c>
      <c r="I11" s="1">
        <f t="shared" si="1"/>
        <v>228.9</v>
      </c>
    </row>
    <row r="12" spans="1:9" ht="18.75" thickBot="1">
      <c r="A12" s="31" t="s">
        <v>36</v>
      </c>
      <c r="B12" s="53">
        <f>B6-B7-B8-B9-B10-B11</f>
        <v>147.20000000000238</v>
      </c>
      <c r="C12" s="53">
        <f>C6-C7-C8-C9-C10-C11</f>
        <v>530.6000000000255</v>
      </c>
      <c r="D12" s="53">
        <f>D6-D7-D8-D9-D10-D11</f>
        <v>64.10000000000227</v>
      </c>
      <c r="E12" s="1">
        <f>D12/D6*100</f>
        <v>0.22410158339481479</v>
      </c>
      <c r="F12" s="1">
        <f t="shared" si="3"/>
        <v>43.54619565217475</v>
      </c>
      <c r="G12" s="1">
        <f t="shared" si="0"/>
        <v>12.080663399924461</v>
      </c>
      <c r="H12" s="1">
        <f t="shared" si="2"/>
        <v>83.10000000000011</v>
      </c>
      <c r="I12" s="1">
        <f t="shared" si="1"/>
        <v>466.5000000000232</v>
      </c>
    </row>
    <row r="13" spans="1:9" s="47" customFormat="1" ht="18.75" customHeight="1" hidden="1">
      <c r="A13" s="114" t="s">
        <v>87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84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85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86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24</v>
      </c>
      <c r="B17" s="55">
        <v>32143.3</v>
      </c>
      <c r="C17" s="56">
        <v>96430</v>
      </c>
      <c r="D17" s="57">
        <f>5329.2+6976.4+310.1+0.1+574.9+417.4+5396.4+2+668.9+83</f>
        <v>19758.4</v>
      </c>
      <c r="E17" s="3">
        <f>D17/D134*100</f>
        <v>29.20170613255929</v>
      </c>
      <c r="F17" s="3">
        <f>D17/B17*100</f>
        <v>61.469730861485914</v>
      </c>
      <c r="G17" s="3">
        <f t="shared" si="0"/>
        <v>20.48988903868091</v>
      </c>
      <c r="H17" s="3">
        <f>B17-D17</f>
        <v>12384.899999999998</v>
      </c>
      <c r="I17" s="3">
        <f t="shared" si="1"/>
        <v>76671.6</v>
      </c>
    </row>
    <row r="18" spans="1:9" ht="18">
      <c r="A18" s="31" t="s">
        <v>5</v>
      </c>
      <c r="B18" s="52">
        <v>24576.8</v>
      </c>
      <c r="C18" s="53">
        <v>75362.8</v>
      </c>
      <c r="D18" s="54">
        <f>5127.2+6545.1+310.1+0.1+5190.4</f>
        <v>17172.9</v>
      </c>
      <c r="E18" s="1">
        <f>D18/D17*100</f>
        <v>86.91442626933356</v>
      </c>
      <c r="F18" s="1">
        <f t="shared" si="3"/>
        <v>69.8744344259627</v>
      </c>
      <c r="G18" s="1">
        <f t="shared" si="0"/>
        <v>22.786971821641448</v>
      </c>
      <c r="H18" s="1">
        <f t="shared" si="2"/>
        <v>7403.899999999998</v>
      </c>
      <c r="I18" s="1">
        <f t="shared" si="1"/>
        <v>58189.9</v>
      </c>
    </row>
    <row r="19" spans="1:9" ht="18">
      <c r="A19" s="31" t="s">
        <v>2</v>
      </c>
      <c r="B19" s="52">
        <v>1049.9</v>
      </c>
      <c r="C19" s="53">
        <v>3430.8</v>
      </c>
      <c r="D19" s="54">
        <f>15+99.7+173.8+0.6+107.5+22.1</f>
        <v>418.70000000000005</v>
      </c>
      <c r="E19" s="1">
        <f>D19/D17*100</f>
        <v>2.1190987124463523</v>
      </c>
      <c r="F19" s="1">
        <f t="shared" si="3"/>
        <v>39.87998857034004</v>
      </c>
      <c r="G19" s="1">
        <f t="shared" si="0"/>
        <v>12.20415063542031</v>
      </c>
      <c r="H19" s="1">
        <f t="shared" si="2"/>
        <v>631.2</v>
      </c>
      <c r="I19" s="1">
        <f t="shared" si="1"/>
        <v>3012.1000000000004</v>
      </c>
    </row>
    <row r="20" spans="1:9" ht="18">
      <c r="A20" s="31" t="s">
        <v>1</v>
      </c>
      <c r="B20" s="52">
        <v>435.6</v>
      </c>
      <c r="C20" s="53">
        <v>1299.7</v>
      </c>
      <c r="D20" s="54">
        <f>50.7+162.6+43.4+2.3+47.2+1.8</f>
        <v>308</v>
      </c>
      <c r="E20" s="1">
        <f>D20/D17*100</f>
        <v>1.5588306745485463</v>
      </c>
      <c r="F20" s="1">
        <f t="shared" si="3"/>
        <v>70.70707070707071</v>
      </c>
      <c r="G20" s="1">
        <f t="shared" si="0"/>
        <v>23.697776409940754</v>
      </c>
      <c r="H20" s="1">
        <f t="shared" si="2"/>
        <v>127.60000000000002</v>
      </c>
      <c r="I20" s="1">
        <f t="shared" si="1"/>
        <v>991.7</v>
      </c>
    </row>
    <row r="21" spans="1:9" ht="18">
      <c r="A21" s="31" t="s">
        <v>0</v>
      </c>
      <c r="B21" s="52">
        <v>3808.6</v>
      </c>
      <c r="C21" s="53">
        <v>9811.5</v>
      </c>
      <c r="D21" s="54">
        <f>36.6+15.7+3.3+2+290.1+4.1</f>
        <v>351.80000000000007</v>
      </c>
      <c r="E21" s="1">
        <f>D21/D17*100</f>
        <v>1.780508543201879</v>
      </c>
      <c r="F21" s="1">
        <f t="shared" si="3"/>
        <v>9.236989970067743</v>
      </c>
      <c r="G21" s="1">
        <f t="shared" si="0"/>
        <v>3.585588340213016</v>
      </c>
      <c r="H21" s="1">
        <f t="shared" si="2"/>
        <v>3456.7999999999997</v>
      </c>
      <c r="I21" s="1">
        <f t="shared" si="1"/>
        <v>9459.7</v>
      </c>
    </row>
    <row r="22" spans="1:9" ht="18">
      <c r="A22" s="31" t="s">
        <v>15</v>
      </c>
      <c r="B22" s="52">
        <v>227.5</v>
      </c>
      <c r="C22" s="53">
        <v>682.5</v>
      </c>
      <c r="D22" s="54">
        <f>14.2+80.1+19.7+105</f>
        <v>219</v>
      </c>
      <c r="E22" s="1">
        <f>D22/D17*100</f>
        <v>1.1083893432666612</v>
      </c>
      <c r="F22" s="1">
        <f t="shared" si="3"/>
        <v>96.26373626373626</v>
      </c>
      <c r="G22" s="1">
        <f t="shared" si="0"/>
        <v>32.08791208791209</v>
      </c>
      <c r="H22" s="1">
        <f t="shared" si="2"/>
        <v>8.5</v>
      </c>
      <c r="I22" s="1">
        <f t="shared" si="1"/>
        <v>463.5</v>
      </c>
    </row>
    <row r="23" spans="1:9" ht="18.75" thickBot="1">
      <c r="A23" s="31" t="s">
        <v>36</v>
      </c>
      <c r="B23" s="53">
        <f>B17-B18-B19-B20-B21-B22</f>
        <v>2044.9</v>
      </c>
      <c r="C23" s="53">
        <f>C17-C18-C19-C20-C21-C22</f>
        <v>5842.699999999997</v>
      </c>
      <c r="D23" s="53">
        <f>D17-D18-D19-D20-D21-D22</f>
        <v>1288</v>
      </c>
      <c r="E23" s="1">
        <f>D23/D17*100</f>
        <v>6.518746457203012</v>
      </c>
      <c r="F23" s="1">
        <f t="shared" si="3"/>
        <v>62.98596508386718</v>
      </c>
      <c r="G23" s="1">
        <f t="shared" si="0"/>
        <v>22.044602666575397</v>
      </c>
      <c r="H23" s="1">
        <f t="shared" si="2"/>
        <v>756.9000000000001</v>
      </c>
      <c r="I23" s="1">
        <f t="shared" si="1"/>
        <v>4554.699999999997</v>
      </c>
    </row>
    <row r="24" spans="1:9" ht="56.25" hidden="1">
      <c r="A24" s="114" t="s">
        <v>95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96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97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98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99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100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101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6141.2</v>
      </c>
      <c r="C31" s="56">
        <v>18423.5</v>
      </c>
      <c r="D31" s="60">
        <f>1347.1+62.9+5.5+1121.1+3+1.1+2.6+0.1+234+6+147.2+4.6+1039.4+104.2+50.8+0.5</f>
        <v>4130.099999999999</v>
      </c>
      <c r="E31" s="3">
        <f>D31/D134*100</f>
        <v>6.1040350685320215</v>
      </c>
      <c r="F31" s="3">
        <f>D31/B31*100</f>
        <v>67.25232853513971</v>
      </c>
      <c r="G31" s="3">
        <f t="shared" si="0"/>
        <v>22.417564523570437</v>
      </c>
      <c r="H31" s="3">
        <f aca="true" t="shared" si="4" ref="H31:H41">B31-D31</f>
        <v>2011.1000000000004</v>
      </c>
      <c r="I31" s="3">
        <f t="shared" si="1"/>
        <v>14293.400000000001</v>
      </c>
    </row>
    <row r="32" spans="1:9" ht="18">
      <c r="A32" s="31" t="s">
        <v>3</v>
      </c>
      <c r="B32" s="52">
        <v>4538.9</v>
      </c>
      <c r="C32" s="53">
        <v>13955.3</v>
      </c>
      <c r="D32" s="54">
        <f>1119.5+1121.1+1039.4+104.2</f>
        <v>3384.2</v>
      </c>
      <c r="E32" s="1">
        <f>D32/D31*100</f>
        <v>81.93990460279412</v>
      </c>
      <c r="F32" s="1">
        <f t="shared" si="3"/>
        <v>74.55991539800392</v>
      </c>
      <c r="G32" s="1">
        <f t="shared" si="0"/>
        <v>24.25028483801853</v>
      </c>
      <c r="H32" s="1">
        <f t="shared" si="4"/>
        <v>1154.6999999999998</v>
      </c>
      <c r="I32" s="1">
        <f t="shared" si="1"/>
        <v>10571.099999999999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496.8</v>
      </c>
      <c r="C34" s="53">
        <v>968.7</v>
      </c>
      <c r="D34" s="54">
        <f>1+2.5+0.8+6+1.4+0.1+11.2+0.5</f>
        <v>23.5</v>
      </c>
      <c r="E34" s="1">
        <f>D34/D31*100</f>
        <v>0.5689934868405124</v>
      </c>
      <c r="F34" s="1">
        <f t="shared" si="3"/>
        <v>4.730273752012883</v>
      </c>
      <c r="G34" s="1">
        <f t="shared" si="0"/>
        <v>2.425931660988954</v>
      </c>
      <c r="H34" s="1">
        <f t="shared" si="4"/>
        <v>473.3</v>
      </c>
      <c r="I34" s="1">
        <f t="shared" si="1"/>
        <v>945.2</v>
      </c>
    </row>
    <row r="35" spans="1:9" s="47" customFormat="1" ht="18.75">
      <c r="A35" s="25" t="s">
        <v>7</v>
      </c>
      <c r="B35" s="61">
        <v>116.2</v>
      </c>
      <c r="C35" s="62">
        <v>348.6</v>
      </c>
      <c r="D35" s="63">
        <f>38.5+5.5+3+4.5</f>
        <v>51.5</v>
      </c>
      <c r="E35" s="21">
        <f>D35/D31*100</f>
        <v>1.2469431732887826</v>
      </c>
      <c r="F35" s="21">
        <f t="shared" si="3"/>
        <v>44.320137693631665</v>
      </c>
      <c r="G35" s="21">
        <f t="shared" si="0"/>
        <v>14.773379231210557</v>
      </c>
      <c r="H35" s="21">
        <f t="shared" si="4"/>
        <v>64.7</v>
      </c>
      <c r="I35" s="21">
        <f t="shared" si="1"/>
        <v>297.1</v>
      </c>
    </row>
    <row r="36" spans="1:9" ht="18">
      <c r="A36" s="31" t="s">
        <v>15</v>
      </c>
      <c r="B36" s="52">
        <v>4.8</v>
      </c>
      <c r="C36" s="53">
        <v>12</v>
      </c>
      <c r="D36" s="53"/>
      <c r="E36" s="1">
        <f>D36/D31*100</f>
        <v>0</v>
      </c>
      <c r="F36" s="1">
        <f t="shared" si="3"/>
        <v>0</v>
      </c>
      <c r="G36" s="1">
        <f t="shared" si="0"/>
        <v>0</v>
      </c>
      <c r="H36" s="1">
        <f t="shared" si="4"/>
        <v>4.8</v>
      </c>
      <c r="I36" s="1">
        <f t="shared" si="1"/>
        <v>12</v>
      </c>
    </row>
    <row r="37" spans="1:9" ht="18.75" thickBot="1">
      <c r="A37" s="31" t="s">
        <v>36</v>
      </c>
      <c r="B37" s="52">
        <f>B31-B32-B34-B35-B33-B36</f>
        <v>984.5000000000002</v>
      </c>
      <c r="C37" s="52">
        <f>C31-C32-C34-C35-C33-C36</f>
        <v>3138.900000000001</v>
      </c>
      <c r="D37" s="52">
        <f>D31-D32-D34-D35-D33-D36</f>
        <v>670.8999999999996</v>
      </c>
      <c r="E37" s="1">
        <f>D37/D31*100</f>
        <v>16.244158737076578</v>
      </c>
      <c r="F37" s="1">
        <f t="shared" si="3"/>
        <v>68.1462671406805</v>
      </c>
      <c r="G37" s="1">
        <f t="shared" si="0"/>
        <v>21.37372965051449</v>
      </c>
      <c r="H37" s="1">
        <f>B37-D37</f>
        <v>313.6000000000006</v>
      </c>
      <c r="I37" s="1">
        <f t="shared" si="1"/>
        <v>2468.0000000000014</v>
      </c>
    </row>
    <row r="38" spans="1:9" s="116" customFormat="1" ht="18.75" hidden="1">
      <c r="A38" s="114" t="s">
        <v>92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93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94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172.4</v>
      </c>
      <c r="C41" s="56">
        <v>517.2</v>
      </c>
      <c r="D41" s="57">
        <f>39.9+10</f>
        <v>49.9</v>
      </c>
      <c r="E41" s="3">
        <f>D41/D134*100</f>
        <v>0.07374914649033872</v>
      </c>
      <c r="F41" s="3">
        <f>D41/B41*100</f>
        <v>28.944315545243615</v>
      </c>
      <c r="G41" s="3">
        <f t="shared" si="0"/>
        <v>9.648105181747873</v>
      </c>
      <c r="H41" s="3">
        <f t="shared" si="4"/>
        <v>122.5</v>
      </c>
      <c r="I41" s="3">
        <f t="shared" si="1"/>
        <v>467.30000000000007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56</v>
      </c>
      <c r="B43" s="55">
        <v>916.6</v>
      </c>
      <c r="C43" s="56">
        <v>2749.7</v>
      </c>
      <c r="D43" s="57">
        <f>179.7+225.2+3.4+199.4</f>
        <v>607.6999999999999</v>
      </c>
      <c r="E43" s="3">
        <f>D43/D134*100</f>
        <v>0.8981434132701168</v>
      </c>
      <c r="F43" s="3">
        <f>D43/B43*100</f>
        <v>66.29936722670739</v>
      </c>
      <c r="G43" s="3">
        <f aca="true" t="shared" si="5" ref="G43:G73">D43/C43*100</f>
        <v>22.100592791940937</v>
      </c>
      <c r="H43" s="3">
        <f>B43-D43</f>
        <v>308.9000000000001</v>
      </c>
      <c r="I43" s="3">
        <f aca="true" t="shared" si="6" ref="I43:I74">C43-D43</f>
        <v>2142</v>
      </c>
    </row>
    <row r="44" spans="1:9" ht="18">
      <c r="A44" s="31" t="s">
        <v>3</v>
      </c>
      <c r="B44" s="52">
        <v>786</v>
      </c>
      <c r="C44" s="53">
        <v>2363</v>
      </c>
      <c r="D44" s="54">
        <f>179.7+201.3+187</f>
        <v>568</v>
      </c>
      <c r="E44" s="1">
        <f>D44/D43*100</f>
        <v>93.46717130162911</v>
      </c>
      <c r="F44" s="1">
        <f aca="true" t="shared" si="7" ref="F44:F71">D44/B44*100</f>
        <v>72.264631043257</v>
      </c>
      <c r="G44" s="1">
        <f t="shared" si="5"/>
        <v>24.037240795598816</v>
      </c>
      <c r="H44" s="1">
        <f aca="true" t="shared" si="8" ref="H44:H71">B44-D44</f>
        <v>218</v>
      </c>
      <c r="I44" s="1">
        <f t="shared" si="6"/>
        <v>1795</v>
      </c>
    </row>
    <row r="45" spans="1:9" ht="18" hidden="1">
      <c r="A45" s="31" t="s">
        <v>2</v>
      </c>
      <c r="B45" s="52"/>
      <c r="C45" s="53"/>
      <c r="D45" s="54"/>
      <c r="E45" s="1">
        <f>D45/D43*100</f>
        <v>0</v>
      </c>
      <c r="F45" s="1" t="e">
        <f t="shared" si="7"/>
        <v>#DIV/0!</v>
      </c>
      <c r="G45" s="1" t="e">
        <f t="shared" si="5"/>
        <v>#DIV/0!</v>
      </c>
      <c r="H45" s="1">
        <f t="shared" si="8"/>
        <v>0</v>
      </c>
      <c r="I45" s="1">
        <f t="shared" si="6"/>
        <v>0</v>
      </c>
    </row>
    <row r="46" spans="1:9" ht="18">
      <c r="A46" s="31" t="s">
        <v>1</v>
      </c>
      <c r="B46" s="52">
        <v>7.3</v>
      </c>
      <c r="C46" s="53">
        <v>22.9</v>
      </c>
      <c r="D46" s="54">
        <f>3.2</f>
        <v>3.2</v>
      </c>
      <c r="E46" s="1">
        <f>D46/D43*100</f>
        <v>0.5265756129669246</v>
      </c>
      <c r="F46" s="1">
        <f t="shared" si="7"/>
        <v>43.83561643835617</v>
      </c>
      <c r="G46" s="1">
        <f t="shared" si="5"/>
        <v>13.973799126637557</v>
      </c>
      <c r="H46" s="1">
        <f t="shared" si="8"/>
        <v>4.1</v>
      </c>
      <c r="I46" s="1">
        <f t="shared" si="6"/>
        <v>19.7</v>
      </c>
    </row>
    <row r="47" spans="1:9" ht="18">
      <c r="A47" s="31" t="s">
        <v>0</v>
      </c>
      <c r="B47" s="52">
        <v>96.2</v>
      </c>
      <c r="C47" s="53">
        <v>229.5</v>
      </c>
      <c r="D47" s="54">
        <f>23.1+2.7+0.5</f>
        <v>26.3</v>
      </c>
      <c r="E47" s="1">
        <f>D47/D43*100</f>
        <v>4.327793319071911</v>
      </c>
      <c r="F47" s="1">
        <f t="shared" si="7"/>
        <v>27.33887733887734</v>
      </c>
      <c r="G47" s="1">
        <f t="shared" si="5"/>
        <v>11.459694989106755</v>
      </c>
      <c r="H47" s="1">
        <f t="shared" si="8"/>
        <v>69.9</v>
      </c>
      <c r="I47" s="1">
        <f t="shared" si="6"/>
        <v>203.2</v>
      </c>
    </row>
    <row r="48" spans="1:9" ht="18.75" thickBot="1">
      <c r="A48" s="31" t="s">
        <v>36</v>
      </c>
      <c r="B48" s="53">
        <f>B43-B44-B47-B46-B45</f>
        <v>27.10000000000002</v>
      </c>
      <c r="C48" s="53">
        <f>C43-C44-C47-C46-C45</f>
        <v>134.2999999999998</v>
      </c>
      <c r="D48" s="53">
        <f>D43-D44-D47-D46-D45</f>
        <v>10.199999999999932</v>
      </c>
      <c r="E48" s="1">
        <f>D48/D43*100</f>
        <v>1.6784597663320608</v>
      </c>
      <c r="F48" s="1">
        <f t="shared" si="7"/>
        <v>37.638376383763564</v>
      </c>
      <c r="G48" s="1">
        <f t="shared" si="5"/>
        <v>7.594936708860719</v>
      </c>
      <c r="H48" s="1">
        <f t="shared" si="8"/>
        <v>16.900000000000087</v>
      </c>
      <c r="I48" s="1">
        <f t="shared" si="6"/>
        <v>124.09999999999988</v>
      </c>
    </row>
    <row r="49" spans="1:9" ht="18.75" thickBot="1">
      <c r="A49" s="30" t="s">
        <v>4</v>
      </c>
      <c r="B49" s="55">
        <v>2062.1</v>
      </c>
      <c r="C49" s="56">
        <v>6186.2</v>
      </c>
      <c r="D49" s="57">
        <f>282.8+343.5+104.6+27.4+31.1+70.8+315.1+27.8+66.3</f>
        <v>1269.3999999999999</v>
      </c>
      <c r="E49" s="3">
        <f>D49/D134*100</f>
        <v>1.8760955221410012</v>
      </c>
      <c r="F49" s="3">
        <f>D49/B49*100</f>
        <v>61.55860530527132</v>
      </c>
      <c r="G49" s="3">
        <f t="shared" si="5"/>
        <v>20.519866800297436</v>
      </c>
      <c r="H49" s="3">
        <f>B49-D49</f>
        <v>792.7</v>
      </c>
      <c r="I49" s="3">
        <f t="shared" si="6"/>
        <v>4916.8</v>
      </c>
    </row>
    <row r="50" spans="1:9" ht="18">
      <c r="A50" s="31" t="s">
        <v>3</v>
      </c>
      <c r="B50" s="52">
        <v>1287.8</v>
      </c>
      <c r="C50" s="53">
        <v>3863.4</v>
      </c>
      <c r="D50" s="54">
        <f>282.8+343.5+279.8</f>
        <v>906.0999999999999</v>
      </c>
      <c r="E50" s="1">
        <f>D50/D49*100</f>
        <v>71.38017961241532</v>
      </c>
      <c r="F50" s="1">
        <f t="shared" si="7"/>
        <v>70.3603043950924</v>
      </c>
      <c r="G50" s="1">
        <f t="shared" si="5"/>
        <v>23.453434798364132</v>
      </c>
      <c r="H50" s="1">
        <f t="shared" si="8"/>
        <v>381.70000000000005</v>
      </c>
      <c r="I50" s="1">
        <f t="shared" si="6"/>
        <v>2957.3</v>
      </c>
    </row>
    <row r="51" spans="1:9" ht="18" hidden="1">
      <c r="A51" s="31" t="s">
        <v>2</v>
      </c>
      <c r="B51" s="52"/>
      <c r="C51" s="53"/>
      <c r="D51" s="54"/>
      <c r="E51" s="13">
        <f>D51/D49*100</f>
        <v>0</v>
      </c>
      <c r="F51" s="1" t="e">
        <f>D51/B51*100</f>
        <v>#DIV/0!</v>
      </c>
      <c r="G51" s="1" t="e">
        <f t="shared" si="5"/>
        <v>#DIV/0!</v>
      </c>
      <c r="H51" s="1">
        <f t="shared" si="8"/>
        <v>0</v>
      </c>
      <c r="I51" s="1">
        <f t="shared" si="6"/>
        <v>0</v>
      </c>
    </row>
    <row r="52" spans="1:9" ht="18">
      <c r="A52" s="31" t="s">
        <v>1</v>
      </c>
      <c r="B52" s="52">
        <v>45.3</v>
      </c>
      <c r="C52" s="53">
        <v>156.7</v>
      </c>
      <c r="D52" s="54">
        <f>2.4+4.2</f>
        <v>6.6</v>
      </c>
      <c r="E52" s="1">
        <f>D52/D49*100</f>
        <v>0.5199306759098787</v>
      </c>
      <c r="F52" s="1">
        <f t="shared" si="7"/>
        <v>14.56953642384106</v>
      </c>
      <c r="G52" s="1">
        <f t="shared" si="5"/>
        <v>4.211869814932993</v>
      </c>
      <c r="H52" s="1">
        <f t="shared" si="8"/>
        <v>38.699999999999996</v>
      </c>
      <c r="I52" s="1">
        <f t="shared" si="6"/>
        <v>150.1</v>
      </c>
    </row>
    <row r="53" spans="1:9" ht="18">
      <c r="A53" s="31" t="s">
        <v>0</v>
      </c>
      <c r="B53" s="52">
        <v>136.9</v>
      </c>
      <c r="C53" s="53">
        <v>288.6</v>
      </c>
      <c r="D53" s="54">
        <f>6+11</f>
        <v>17</v>
      </c>
      <c r="E53" s="1">
        <f>D53/D49*100</f>
        <v>1.339215377343627</v>
      </c>
      <c r="F53" s="1">
        <f t="shared" si="7"/>
        <v>12.41782322863404</v>
      </c>
      <c r="G53" s="1">
        <f t="shared" si="5"/>
        <v>5.89050589050589</v>
      </c>
      <c r="H53" s="1">
        <f t="shared" si="8"/>
        <v>119.9</v>
      </c>
      <c r="I53" s="1">
        <f t="shared" si="6"/>
        <v>271.6</v>
      </c>
    </row>
    <row r="54" spans="1:9" ht="18.75" thickBot="1">
      <c r="A54" s="31" t="s">
        <v>36</v>
      </c>
      <c r="B54" s="53">
        <f>B49-B50-B53-B52-B51</f>
        <v>592.1</v>
      </c>
      <c r="C54" s="53">
        <f>C49-C50-C53-C52-C51</f>
        <v>1877.4999999999998</v>
      </c>
      <c r="D54" s="53">
        <f>D49-D50-D53-D52-D51</f>
        <v>339.69999999999993</v>
      </c>
      <c r="E54" s="1">
        <f>D54/D49*100</f>
        <v>26.760674334331174</v>
      </c>
      <c r="F54" s="1">
        <f t="shared" si="7"/>
        <v>57.372065529471364</v>
      </c>
      <c r="G54" s="1">
        <f t="shared" si="5"/>
        <v>18.093209054593874</v>
      </c>
      <c r="H54" s="1">
        <f t="shared" si="8"/>
        <v>252.4000000000001</v>
      </c>
      <c r="I54" s="1">
        <f>C54-D54</f>
        <v>1537.7999999999997</v>
      </c>
    </row>
    <row r="55" spans="1:9" s="47" customFormat="1" ht="19.5" hidden="1" thickBot="1">
      <c r="A55" s="114" t="s">
        <v>91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396.7</v>
      </c>
      <c r="C56" s="56">
        <f>2265.7-971.7</f>
        <v>1293.9999999999998</v>
      </c>
      <c r="D56" s="57">
        <f>128-60.9+102.5+11.8+75.2+16.7</f>
        <v>273.3</v>
      </c>
      <c r="E56" s="3">
        <f>D56/D134*100</f>
        <v>0.40392067606832804</v>
      </c>
      <c r="F56" s="3">
        <f>D56/B56*100</f>
        <v>68.89337030501639</v>
      </c>
      <c r="G56" s="3">
        <f t="shared" si="5"/>
        <v>21.12055641421948</v>
      </c>
      <c r="H56" s="3">
        <f>B56-D56</f>
        <v>123.39999999999998</v>
      </c>
      <c r="I56" s="3">
        <f t="shared" si="6"/>
        <v>1020.6999999999998</v>
      </c>
    </row>
    <row r="57" spans="1:9" ht="18">
      <c r="A57" s="31" t="s">
        <v>3</v>
      </c>
      <c r="B57" s="52">
        <v>278.6</v>
      </c>
      <c r="C57" s="53">
        <f>1451.2-795</f>
        <v>656.2</v>
      </c>
      <c r="D57" s="54">
        <f>128-60.9+102.5+75.2</f>
        <v>244.8</v>
      </c>
      <c r="E57" s="1">
        <f>D57/D56*100</f>
        <v>89.57189901207464</v>
      </c>
      <c r="F57" s="1">
        <f t="shared" si="7"/>
        <v>87.86791098348887</v>
      </c>
      <c r="G57" s="1">
        <f t="shared" si="5"/>
        <v>37.30569948186528</v>
      </c>
      <c r="H57" s="1">
        <f t="shared" si="8"/>
        <v>33.80000000000001</v>
      </c>
      <c r="I57" s="1">
        <f t="shared" si="6"/>
        <v>411.40000000000003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75.3</v>
      </c>
      <c r="C59" s="53">
        <f>284.4-144.7</f>
        <v>139.7</v>
      </c>
      <c r="D59" s="54">
        <f>4.5+0.1</f>
        <v>4.6</v>
      </c>
      <c r="E59" s="1">
        <f>D59/D56*100</f>
        <v>1.6831320892791803</v>
      </c>
      <c r="F59" s="1">
        <f t="shared" si="7"/>
        <v>6.108897742363877</v>
      </c>
      <c r="G59" s="1">
        <f t="shared" si="5"/>
        <v>3.2927702219040804</v>
      </c>
      <c r="H59" s="1">
        <f t="shared" si="8"/>
        <v>70.7</v>
      </c>
      <c r="I59" s="1">
        <f t="shared" si="6"/>
        <v>135.1</v>
      </c>
    </row>
    <row r="60" spans="1:9" ht="18">
      <c r="A60" s="31" t="s">
        <v>15</v>
      </c>
      <c r="B60" s="52">
        <v>17.9</v>
      </c>
      <c r="C60" s="53">
        <v>439.5</v>
      </c>
      <c r="D60" s="54"/>
      <c r="E60" s="1">
        <f>D60/D56*100</f>
        <v>0</v>
      </c>
      <c r="F60" s="1"/>
      <c r="G60" s="1">
        <f t="shared" si="5"/>
        <v>0</v>
      </c>
      <c r="H60" s="1">
        <f t="shared" si="8"/>
        <v>17.9</v>
      </c>
      <c r="I60" s="1">
        <f t="shared" si="6"/>
        <v>439.5</v>
      </c>
    </row>
    <row r="61" spans="1:9" ht="18.75" thickBot="1">
      <c r="A61" s="31" t="s">
        <v>36</v>
      </c>
      <c r="B61" s="53">
        <f>B56-B57-B59-B60-B58</f>
        <v>24.89999999999997</v>
      </c>
      <c r="C61" s="53">
        <f>C56-C57-C59-C60-C58</f>
        <v>58.59999999999974</v>
      </c>
      <c r="D61" s="53">
        <f>D56-D57-D59-D60-D58</f>
        <v>23.9</v>
      </c>
      <c r="E61" s="1">
        <f>D61/D56*100</f>
        <v>8.744968898646176</v>
      </c>
      <c r="F61" s="1">
        <f t="shared" si="7"/>
        <v>95.983935742972</v>
      </c>
      <c r="G61" s="1">
        <f t="shared" si="5"/>
        <v>40.784982935153764</v>
      </c>
      <c r="H61" s="1">
        <f t="shared" si="8"/>
        <v>0.9999999999999716</v>
      </c>
      <c r="I61" s="1">
        <f t="shared" si="6"/>
        <v>34.69999999999974</v>
      </c>
    </row>
    <row r="62" spans="1:9" s="47" customFormat="1" ht="18.75" hidden="1">
      <c r="A62" s="114" t="s">
        <v>102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88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89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90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25</v>
      </c>
      <c r="B66" s="56">
        <f>B67+B68</f>
        <v>65.8</v>
      </c>
      <c r="C66" s="56">
        <f>C67+C68</f>
        <v>197.4</v>
      </c>
      <c r="D66" s="57">
        <f>SUM(D67:D68)</f>
        <v>0</v>
      </c>
      <c r="E66" s="44">
        <f>D66/D134*100</f>
        <v>0</v>
      </c>
      <c r="F66" s="3">
        <f>D66/B66*100</f>
        <v>0</v>
      </c>
      <c r="G66" s="3">
        <f t="shared" si="5"/>
        <v>0</v>
      </c>
      <c r="H66" s="3">
        <f>B66-D66</f>
        <v>65.8</v>
      </c>
      <c r="I66" s="3">
        <f t="shared" si="6"/>
        <v>197.4</v>
      </c>
    </row>
    <row r="67" spans="1:9" ht="18">
      <c r="A67" s="31" t="s">
        <v>8</v>
      </c>
      <c r="B67" s="52">
        <f>22.9+22.9</f>
        <v>45.8</v>
      </c>
      <c r="C67" s="53">
        <v>137.4</v>
      </c>
      <c r="D67" s="54"/>
      <c r="E67" s="1" t="e">
        <f>D67/D66*100</f>
        <v>#DIV/0!</v>
      </c>
      <c r="F67" s="1">
        <f t="shared" si="7"/>
        <v>0</v>
      </c>
      <c r="G67" s="1">
        <f t="shared" si="5"/>
        <v>0</v>
      </c>
      <c r="H67" s="1">
        <f t="shared" si="8"/>
        <v>45.8</v>
      </c>
      <c r="I67" s="1">
        <f t="shared" si="6"/>
        <v>137.4</v>
      </c>
    </row>
    <row r="68" spans="1:9" ht="18.75" thickBot="1">
      <c r="A68" s="31" t="s">
        <v>9</v>
      </c>
      <c r="B68" s="52">
        <f>10+10</f>
        <v>20</v>
      </c>
      <c r="C68" s="53">
        <v>60</v>
      </c>
      <c r="D68" s="54"/>
      <c r="E68" s="1" t="e">
        <f>D68/D66*100</f>
        <v>#DIV/0!</v>
      </c>
      <c r="F68" s="1">
        <f t="shared" si="7"/>
        <v>0</v>
      </c>
      <c r="G68" s="1">
        <f t="shared" si="5"/>
        <v>0</v>
      </c>
      <c r="H68" s="1">
        <f t="shared" si="8"/>
        <v>20</v>
      </c>
      <c r="I68" s="1">
        <f t="shared" si="6"/>
        <v>60</v>
      </c>
    </row>
    <row r="69" spans="1:9" ht="38.25" hidden="1" thickBot="1">
      <c r="A69" s="15" t="s">
        <v>52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58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59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43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53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66.7</v>
      </c>
      <c r="C74" s="72">
        <v>200</v>
      </c>
      <c r="D74" s="73"/>
      <c r="E74" s="51"/>
      <c r="F74" s="51"/>
      <c r="G74" s="51"/>
      <c r="H74" s="51">
        <f>B74-D74</f>
        <v>66.7</v>
      </c>
      <c r="I74" s="51">
        <f t="shared" si="6"/>
        <v>200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thickBot="1">
      <c r="A76" s="15" t="s">
        <v>82</v>
      </c>
      <c r="B76" s="64">
        <f>B77+B78</f>
        <v>198.5</v>
      </c>
      <c r="C76" s="56">
        <f>C77+C78</f>
        <v>595.6</v>
      </c>
      <c r="D76" s="56">
        <f>D77+D78</f>
        <v>0</v>
      </c>
      <c r="E76" s="3">
        <f>D76/D134*100</f>
        <v>0</v>
      </c>
      <c r="F76" s="3">
        <f>D76/B76*100</f>
        <v>0</v>
      </c>
      <c r="G76" s="3">
        <f aca="true" t="shared" si="9" ref="G76:G90">D76/C76*100</f>
        <v>0</v>
      </c>
      <c r="H76" s="3">
        <f>B76-D76</f>
        <v>198.5</v>
      </c>
      <c r="I76" s="3">
        <f aca="true" t="shared" si="10" ref="I76:I90">C76-D76</f>
        <v>595.6</v>
      </c>
    </row>
    <row r="77" spans="1:9" s="8" customFormat="1" ht="18" hidden="1">
      <c r="A77" s="9" t="s">
        <v>81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thickBot="1">
      <c r="A78" s="9" t="s">
        <v>72</v>
      </c>
      <c r="B78" s="74">
        <v>198.5</v>
      </c>
      <c r="C78" s="53">
        <v>595.6</v>
      </c>
      <c r="D78" s="54"/>
      <c r="E78" s="111"/>
      <c r="F78" s="1">
        <f>D78/B78*100</f>
        <v>0</v>
      </c>
      <c r="G78" s="1">
        <f t="shared" si="9"/>
        <v>0</v>
      </c>
      <c r="H78" s="1">
        <f>B78-D78</f>
        <v>198.5</v>
      </c>
      <c r="I78" s="1">
        <f t="shared" si="10"/>
        <v>595.6</v>
      </c>
    </row>
    <row r="79" spans="1:9" s="8" customFormat="1" ht="16.5" customHeight="1" hidden="1">
      <c r="A79" s="9" t="s">
        <v>42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49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44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31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32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45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31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32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7495.8</v>
      </c>
      <c r="C87" s="56">
        <v>22487.4</v>
      </c>
      <c r="D87" s="57">
        <f>3.8+55.8+884+208.9+0.4+11.9+10.3+22.7+60.3+781.1+1004.9+29.9+24.2+11.3+0.5+128.1+69.2+31.5+41.9+1269.3+95.4+24</f>
        <v>4769.4</v>
      </c>
      <c r="E87" s="3">
        <f>D87/D134*100</f>
        <v>7.0488813481166614</v>
      </c>
      <c r="F87" s="3">
        <f aca="true" t="shared" si="11" ref="F87:F92">D87/B87*100</f>
        <v>63.62763147362522</v>
      </c>
      <c r="G87" s="3">
        <f t="shared" si="9"/>
        <v>21.20921049120841</v>
      </c>
      <c r="H87" s="3">
        <f aca="true" t="shared" si="12" ref="H87:H92">B87-D87</f>
        <v>2726.4000000000005</v>
      </c>
      <c r="I87" s="3">
        <f t="shared" si="10"/>
        <v>17718</v>
      </c>
    </row>
    <row r="88" spans="1:9" ht="18">
      <c r="A88" s="31" t="s">
        <v>3</v>
      </c>
      <c r="B88" s="52">
        <v>6267.7</v>
      </c>
      <c r="C88" s="53">
        <v>18878.8</v>
      </c>
      <c r="D88" s="54">
        <f>3.8+55.8+877.5+206+1.6+755.1+834.4+26.6+41.3+1268.7+0.5+8.5</f>
        <v>4079.8</v>
      </c>
      <c r="E88" s="1">
        <f>D88/D87*100</f>
        <v>85.54115821696651</v>
      </c>
      <c r="F88" s="1">
        <f t="shared" si="11"/>
        <v>65.09245815849515</v>
      </c>
      <c r="G88" s="1">
        <f t="shared" si="9"/>
        <v>21.610483717185417</v>
      </c>
      <c r="H88" s="1">
        <f t="shared" si="12"/>
        <v>2187.8999999999996</v>
      </c>
      <c r="I88" s="1">
        <f t="shared" si="10"/>
        <v>14799</v>
      </c>
    </row>
    <row r="89" spans="1:9" ht="18">
      <c r="A89" s="31" t="s">
        <v>34</v>
      </c>
      <c r="B89" s="52">
        <v>507.6</v>
      </c>
      <c r="C89" s="53">
        <v>1104.3</v>
      </c>
      <c r="D89" s="54">
        <f>125+55.5+51.3</f>
        <v>231.8</v>
      </c>
      <c r="E89" s="1">
        <f>D89/D87*100</f>
        <v>4.860150123705289</v>
      </c>
      <c r="F89" s="1">
        <f t="shared" si="11"/>
        <v>45.665878644602046</v>
      </c>
      <c r="G89" s="1">
        <f t="shared" si="9"/>
        <v>20.990672824413657</v>
      </c>
      <c r="H89" s="1">
        <f t="shared" si="12"/>
        <v>275.8</v>
      </c>
      <c r="I89" s="1">
        <f t="shared" si="10"/>
        <v>872.5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36</v>
      </c>
      <c r="B91" s="53">
        <f>B87-B88-B89-B90</f>
        <v>720.5000000000003</v>
      </c>
      <c r="C91" s="53">
        <f>C87-C88-C89-C90</f>
        <v>2504.300000000002</v>
      </c>
      <c r="D91" s="53">
        <f>D87-D88-D89-D90</f>
        <v>457.79999999999944</v>
      </c>
      <c r="E91" s="1">
        <f>D91/D87*100</f>
        <v>9.598691659328207</v>
      </c>
      <c r="F91" s="1">
        <f t="shared" si="11"/>
        <v>63.539208882720224</v>
      </c>
      <c r="G91" s="1">
        <f>D91/C91*100</f>
        <v>18.280557441201097</v>
      </c>
      <c r="H91" s="1">
        <f t="shared" si="12"/>
        <v>262.7000000000009</v>
      </c>
      <c r="I91" s="1">
        <f>C91-D91</f>
        <v>2046.5000000000025</v>
      </c>
    </row>
    <row r="92" spans="1:9" ht="19.5" thickBot="1">
      <c r="A92" s="15" t="s">
        <v>12</v>
      </c>
      <c r="B92" s="64">
        <v>5510.7</v>
      </c>
      <c r="C92" s="75">
        <v>16532.1</v>
      </c>
      <c r="D92" s="57">
        <f>2618.9+2514.7+108.2</f>
        <v>5241.8</v>
      </c>
      <c r="E92" s="3">
        <f>D92/D134*100</f>
        <v>7.747059640742634</v>
      </c>
      <c r="F92" s="3">
        <f t="shared" si="11"/>
        <v>95.12040212677157</v>
      </c>
      <c r="G92" s="3">
        <f>D92/C92*100</f>
        <v>31.706800708923854</v>
      </c>
      <c r="H92" s="3">
        <f t="shared" si="12"/>
        <v>268.89999999999964</v>
      </c>
      <c r="I92" s="3">
        <f>C92-D92</f>
        <v>11290.3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47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69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778.3</v>
      </c>
      <c r="C98" s="110">
        <v>2334.9</v>
      </c>
      <c r="D98" s="94">
        <f>111.6+19.4+112.6-0.1+0.9+99.9+111.6+6.9+7.2+47.9</f>
        <v>517.9</v>
      </c>
      <c r="E98" s="27">
        <f>D98/D134*100</f>
        <v>0.7654245083636556</v>
      </c>
      <c r="F98" s="27">
        <f>D98/B98*100</f>
        <v>66.54246434536812</v>
      </c>
      <c r="G98" s="27">
        <f aca="true" t="shared" si="13" ref="G98:G111">D98/C98*100</f>
        <v>22.180821448456033</v>
      </c>
      <c r="H98" s="27">
        <f>B98-D98</f>
        <v>260.4</v>
      </c>
      <c r="I98" s="27">
        <f aca="true" t="shared" si="14" ref="I98:I132">C98-D98</f>
        <v>1817</v>
      </c>
    </row>
    <row r="99" spans="1:9" ht="18">
      <c r="A99" s="95" t="s">
        <v>67</v>
      </c>
      <c r="B99" s="105">
        <v>0</v>
      </c>
      <c r="C99" s="103">
        <v>25.5</v>
      </c>
      <c r="D99" s="103"/>
      <c r="E99" s="99">
        <f>D99/D98*100</f>
        <v>0</v>
      </c>
      <c r="F99" s="1"/>
      <c r="G99" s="99">
        <f>D99/C99*100</f>
        <v>0</v>
      </c>
      <c r="H99" s="99">
        <f>B99-D99</f>
        <v>0</v>
      </c>
      <c r="I99" s="99">
        <f t="shared" si="14"/>
        <v>25.5</v>
      </c>
    </row>
    <row r="100" spans="1:9" ht="18">
      <c r="A100" s="101" t="s">
        <v>66</v>
      </c>
      <c r="B100" s="85">
        <v>667.8</v>
      </c>
      <c r="C100" s="54">
        <v>2031</v>
      </c>
      <c r="D100" s="54">
        <f>111.4+112.6+0.9+99.8+111.4+47.6</f>
        <v>483.70000000000005</v>
      </c>
      <c r="E100" s="1">
        <f>D100/D98*100</f>
        <v>93.39640857308362</v>
      </c>
      <c r="F100" s="1">
        <f aca="true" t="shared" si="15" ref="F100:F132">D100/B100*100</f>
        <v>72.43186582809226</v>
      </c>
      <c r="G100" s="1">
        <f t="shared" si="13"/>
        <v>23.815854258985723</v>
      </c>
      <c r="H100" s="1">
        <f>B100-D100</f>
        <v>184.0999999999999</v>
      </c>
      <c r="I100" s="1">
        <f t="shared" si="14"/>
        <v>1547.3</v>
      </c>
    </row>
    <row r="101" spans="1:9" ht="18.75" thickBot="1">
      <c r="A101" s="102" t="s">
        <v>36</v>
      </c>
      <c r="B101" s="104">
        <f>B98-B99-B100</f>
        <v>110.5</v>
      </c>
      <c r="C101" s="104">
        <f>C98-C99-C100</f>
        <v>278.4000000000001</v>
      </c>
      <c r="D101" s="104">
        <f>D98-D99-D100</f>
        <v>34.19999999999993</v>
      </c>
      <c r="E101" s="100">
        <f>D101/D98*100</f>
        <v>6.60359142691638</v>
      </c>
      <c r="F101" s="100">
        <f t="shared" si="15"/>
        <v>30.95022624434383</v>
      </c>
      <c r="G101" s="100">
        <f t="shared" si="13"/>
        <v>12.284482758620662</v>
      </c>
      <c r="H101" s="100">
        <f>B101-D101</f>
        <v>76.30000000000007</v>
      </c>
      <c r="I101" s="100">
        <f t="shared" si="14"/>
        <v>244.20000000000016</v>
      </c>
    </row>
    <row r="102" spans="1:9" s="2" customFormat="1" ht="26.25" customHeight="1" thickBot="1">
      <c r="A102" s="96" t="s">
        <v>37</v>
      </c>
      <c r="B102" s="97">
        <f>SUM(B103:B131)-B110-B114+B132-B127-B128-B104-B107</f>
        <v>3310.8</v>
      </c>
      <c r="C102" s="97">
        <f>SUM(C103:C131)-C110-C114+C132-C127-C128-C104-C107</f>
        <v>7838.6</v>
      </c>
      <c r="D102" s="97">
        <f>SUM(D103:D131)-D110-D114+D132-D127-D128-D104-D107</f>
        <v>2440.7999999999997</v>
      </c>
      <c r="E102" s="98">
        <f>D102/D134*100</f>
        <v>3.607353041154684</v>
      </c>
      <c r="F102" s="98">
        <f>D102/B102*100</f>
        <v>73.72236317506342</v>
      </c>
      <c r="G102" s="98">
        <f t="shared" si="13"/>
        <v>31.13821345648457</v>
      </c>
      <c r="H102" s="98">
        <f>B102-D102</f>
        <v>870.0000000000005</v>
      </c>
      <c r="I102" s="98">
        <f t="shared" si="14"/>
        <v>5397.800000000001</v>
      </c>
    </row>
    <row r="103" spans="1:9" ht="37.5">
      <c r="A103" s="36" t="s">
        <v>70</v>
      </c>
      <c r="B103" s="82">
        <v>135.8</v>
      </c>
      <c r="C103" s="78">
        <v>407.4</v>
      </c>
      <c r="D103" s="83">
        <f>1.4</f>
        <v>1.4</v>
      </c>
      <c r="E103" s="6">
        <f>D103/D102*100</f>
        <v>0.057358243198951164</v>
      </c>
      <c r="F103" s="6">
        <f t="shared" si="15"/>
        <v>1.0309278350515463</v>
      </c>
      <c r="G103" s="6">
        <f t="shared" si="13"/>
        <v>0.3436426116838488</v>
      </c>
      <c r="H103" s="6">
        <f aca="true" t="shared" si="16" ref="H103:H132">B103-D103</f>
        <v>134.4</v>
      </c>
      <c r="I103" s="6">
        <f t="shared" si="14"/>
        <v>406</v>
      </c>
    </row>
    <row r="104" spans="1:9" ht="18">
      <c r="A104" s="31" t="s">
        <v>34</v>
      </c>
      <c r="B104" s="85">
        <v>86.5</v>
      </c>
      <c r="C104" s="54">
        <v>259.5</v>
      </c>
      <c r="D104" s="86">
        <f>1.4</f>
        <v>1.4</v>
      </c>
      <c r="E104" s="1"/>
      <c r="F104" s="1">
        <f t="shared" si="15"/>
        <v>1.6184971098265895</v>
      </c>
      <c r="G104" s="1">
        <f t="shared" si="13"/>
        <v>0.5394990366088631</v>
      </c>
      <c r="H104" s="1">
        <f t="shared" si="16"/>
        <v>85.1</v>
      </c>
      <c r="I104" s="1">
        <f t="shared" si="14"/>
        <v>258.1</v>
      </c>
    </row>
    <row r="105" spans="1:9" ht="34.5" customHeight="1" hidden="1">
      <c r="A105" s="19" t="s">
        <v>76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80</v>
      </c>
      <c r="B106" s="84">
        <v>8.5</v>
      </c>
      <c r="C106" s="71">
        <v>25.4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8.5</v>
      </c>
      <c r="I106" s="6">
        <f t="shared" si="14"/>
        <v>25.4</v>
      </c>
    </row>
    <row r="107" spans="1:9" ht="18" hidden="1">
      <c r="A107" s="31" t="s">
        <v>34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79</v>
      </c>
      <c r="B108" s="84">
        <v>12.8</v>
      </c>
      <c r="C108" s="71">
        <v>38.4</v>
      </c>
      <c r="D108" s="83">
        <f>5.5</f>
        <v>5.5</v>
      </c>
      <c r="E108" s="6">
        <f>D108/D102*100</f>
        <v>0.22533595542445103</v>
      </c>
      <c r="F108" s="6">
        <f t="shared" si="15"/>
        <v>42.96875</v>
      </c>
      <c r="G108" s="6">
        <f t="shared" si="13"/>
        <v>14.322916666666668</v>
      </c>
      <c r="H108" s="6">
        <f t="shared" si="16"/>
        <v>7.300000000000001</v>
      </c>
      <c r="I108" s="6">
        <f t="shared" si="14"/>
        <v>32.9</v>
      </c>
    </row>
    <row r="109" spans="1:9" ht="37.5">
      <c r="A109" s="19" t="s">
        <v>48</v>
      </c>
      <c r="B109" s="84">
        <v>210.6</v>
      </c>
      <c r="C109" s="71">
        <v>632</v>
      </c>
      <c r="D109" s="83"/>
      <c r="E109" s="6">
        <f>D109/D102*100</f>
        <v>0</v>
      </c>
      <c r="F109" s="6">
        <f t="shared" si="15"/>
        <v>0</v>
      </c>
      <c r="G109" s="6">
        <f t="shared" si="13"/>
        <v>0</v>
      </c>
      <c r="H109" s="6">
        <f t="shared" si="16"/>
        <v>210.6</v>
      </c>
      <c r="I109" s="6">
        <f t="shared" si="14"/>
        <v>632</v>
      </c>
    </row>
    <row r="110" spans="1:9" ht="18" hidden="1">
      <c r="A110" s="42" t="s">
        <v>55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62</v>
      </c>
      <c r="B111" s="84">
        <v>16.9</v>
      </c>
      <c r="C111" s="63">
        <v>50.7</v>
      </c>
      <c r="D111" s="87"/>
      <c r="E111" s="21">
        <f>D111/D102*100</f>
        <v>0</v>
      </c>
      <c r="F111" s="21">
        <f t="shared" si="15"/>
        <v>0</v>
      </c>
      <c r="G111" s="21">
        <f t="shared" si="13"/>
        <v>0</v>
      </c>
      <c r="H111" s="21">
        <f t="shared" si="16"/>
        <v>16.9</v>
      </c>
      <c r="I111" s="21">
        <f t="shared" si="14"/>
        <v>50.7</v>
      </c>
    </row>
    <row r="112" spans="1:9" ht="37.5">
      <c r="A112" s="19" t="s">
        <v>61</v>
      </c>
      <c r="B112" s="84">
        <v>14</v>
      </c>
      <c r="C112" s="71">
        <v>42.1</v>
      </c>
      <c r="D112" s="83">
        <v>4.9</v>
      </c>
      <c r="E112" s="6">
        <f>D112/D102*100</f>
        <v>0.2007538511963291</v>
      </c>
      <c r="F112" s="6">
        <f>D112/B112*100</f>
        <v>35</v>
      </c>
      <c r="G112" s="6">
        <f aca="true" t="shared" si="17" ref="G112:G132">D112/C112*100</f>
        <v>11.63895486935867</v>
      </c>
      <c r="H112" s="6">
        <f t="shared" si="16"/>
        <v>9.1</v>
      </c>
      <c r="I112" s="6">
        <f t="shared" si="14"/>
        <v>37.2</v>
      </c>
    </row>
    <row r="113" spans="1:9" s="2" customFormat="1" ht="18.75">
      <c r="A113" s="19" t="s">
        <v>16</v>
      </c>
      <c r="B113" s="84">
        <v>24.5</v>
      </c>
      <c r="C113" s="63">
        <v>73.4</v>
      </c>
      <c r="D113" s="83">
        <f>13.5</f>
        <v>13.5</v>
      </c>
      <c r="E113" s="6">
        <f>D113/D102*100</f>
        <v>0.5530973451327434</v>
      </c>
      <c r="F113" s="6">
        <f t="shared" si="15"/>
        <v>55.10204081632652</v>
      </c>
      <c r="G113" s="6">
        <f t="shared" si="17"/>
        <v>18.392370572207085</v>
      </c>
      <c r="H113" s="6">
        <f t="shared" si="16"/>
        <v>11</v>
      </c>
      <c r="I113" s="6">
        <f t="shared" si="14"/>
        <v>59.900000000000006</v>
      </c>
    </row>
    <row r="114" spans="1:9" s="41" customFormat="1" ht="18">
      <c r="A114" s="42" t="s">
        <v>55</v>
      </c>
      <c r="B114" s="85">
        <v>23</v>
      </c>
      <c r="C114" s="54">
        <v>67.4</v>
      </c>
      <c r="D114" s="86">
        <f>13.5</f>
        <v>13.5</v>
      </c>
      <c r="E114" s="1"/>
      <c r="F114" s="1">
        <f t="shared" si="15"/>
        <v>58.69565217391305</v>
      </c>
      <c r="G114" s="1">
        <f t="shared" si="17"/>
        <v>20.029673590504448</v>
      </c>
      <c r="H114" s="1">
        <f t="shared" si="16"/>
        <v>9.5</v>
      </c>
      <c r="I114" s="1">
        <f t="shared" si="14"/>
        <v>53.900000000000006</v>
      </c>
    </row>
    <row r="115" spans="1:9" s="2" customFormat="1" ht="18.75">
      <c r="A115" s="19" t="s">
        <v>26</v>
      </c>
      <c r="B115" s="84">
        <v>14.3</v>
      </c>
      <c r="C115" s="63">
        <v>42.8</v>
      </c>
      <c r="D115" s="83"/>
      <c r="E115" s="6">
        <f>D115/D102*100</f>
        <v>0</v>
      </c>
      <c r="F115" s="6">
        <f t="shared" si="15"/>
        <v>0</v>
      </c>
      <c r="G115" s="6">
        <f t="shared" si="17"/>
        <v>0</v>
      </c>
      <c r="H115" s="6">
        <f t="shared" si="16"/>
        <v>14.3</v>
      </c>
      <c r="I115" s="6">
        <f t="shared" si="14"/>
        <v>42.8</v>
      </c>
    </row>
    <row r="116" spans="1:9" s="2" customFormat="1" ht="21.75" customHeight="1">
      <c r="A116" s="19" t="s">
        <v>46</v>
      </c>
      <c r="B116" s="84">
        <v>18.5</v>
      </c>
      <c r="C116" s="63">
        <v>55.4</v>
      </c>
      <c r="D116" s="87">
        <f>16.2</f>
        <v>16.2</v>
      </c>
      <c r="E116" s="21">
        <f>D116/D102*100</f>
        <v>0.6637168141592921</v>
      </c>
      <c r="F116" s="6">
        <f t="shared" si="15"/>
        <v>87.56756756756756</v>
      </c>
      <c r="G116" s="6">
        <f t="shared" si="17"/>
        <v>29.24187725631769</v>
      </c>
      <c r="H116" s="6">
        <f t="shared" si="16"/>
        <v>2.3000000000000007</v>
      </c>
      <c r="I116" s="6">
        <f t="shared" si="14"/>
        <v>39.2</v>
      </c>
    </row>
    <row r="117" spans="1:9" s="2" customFormat="1" ht="37.5">
      <c r="A117" s="19" t="s">
        <v>50</v>
      </c>
      <c r="B117" s="84">
        <v>431.1</v>
      </c>
      <c r="C117" s="63">
        <v>1293.2</v>
      </c>
      <c r="D117" s="87">
        <f>196.6+25</f>
        <v>221.6</v>
      </c>
      <c r="E117" s="21">
        <f>D117/D102*100</f>
        <v>9.0789904949197</v>
      </c>
      <c r="F117" s="6">
        <f t="shared" si="15"/>
        <v>51.403386685223836</v>
      </c>
      <c r="G117" s="6">
        <f t="shared" si="17"/>
        <v>17.135787194556137</v>
      </c>
      <c r="H117" s="6">
        <f t="shared" si="16"/>
        <v>209.50000000000003</v>
      </c>
      <c r="I117" s="6">
        <f t="shared" si="14"/>
        <v>1071.6000000000001</v>
      </c>
    </row>
    <row r="118" spans="1:9" s="2" customFormat="1" ht="56.25">
      <c r="A118" s="19" t="s">
        <v>57</v>
      </c>
      <c r="B118" s="84">
        <v>25.1</v>
      </c>
      <c r="C118" s="63">
        <v>75.3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25.1</v>
      </c>
      <c r="I118" s="6">
        <f t="shared" si="14"/>
        <v>75.3</v>
      </c>
    </row>
    <row r="119" spans="1:9" s="2" customFormat="1" ht="57" customHeight="1" hidden="1">
      <c r="A119" s="19" t="s">
        <v>74</v>
      </c>
      <c r="B119" s="84"/>
      <c r="C119" s="63"/>
      <c r="D119" s="87"/>
      <c r="E119" s="21">
        <f>D119/D102*100</f>
        <v>0</v>
      </c>
      <c r="F119" s="6"/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60</v>
      </c>
      <c r="B120" s="84">
        <v>63.4</v>
      </c>
      <c r="C120" s="63">
        <v>190.3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63.4</v>
      </c>
      <c r="I120" s="6">
        <f t="shared" si="14"/>
        <v>190.3</v>
      </c>
    </row>
    <row r="121" spans="1:9" s="2" customFormat="1" ht="37.5" hidden="1">
      <c r="A121" s="19" t="s">
        <v>83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77</v>
      </c>
      <c r="B122" s="84">
        <v>28.5</v>
      </c>
      <c r="C122" s="63">
        <v>85.7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28.5</v>
      </c>
      <c r="I122" s="6">
        <f t="shared" si="14"/>
        <v>85.7</v>
      </c>
    </row>
    <row r="123" spans="1:9" s="2" customFormat="1" ht="35.25" customHeight="1">
      <c r="A123" s="19" t="s">
        <v>75</v>
      </c>
      <c r="B123" s="84">
        <v>9.4</v>
      </c>
      <c r="C123" s="63">
        <v>28.2</v>
      </c>
      <c r="D123" s="87">
        <f>0.5</f>
        <v>0.5</v>
      </c>
      <c r="E123" s="21">
        <f>D123/D102*100</f>
        <v>0.020485086856768274</v>
      </c>
      <c r="F123" s="6">
        <f t="shared" si="15"/>
        <v>5.319148936170213</v>
      </c>
      <c r="G123" s="6">
        <f t="shared" si="17"/>
        <v>1.773049645390071</v>
      </c>
      <c r="H123" s="6">
        <f t="shared" si="16"/>
        <v>8.9</v>
      </c>
      <c r="I123" s="6">
        <f t="shared" si="14"/>
        <v>27.7</v>
      </c>
    </row>
    <row r="124" spans="1:9" s="2" customFormat="1" ht="35.25" customHeight="1">
      <c r="A124" s="19" t="s">
        <v>78</v>
      </c>
      <c r="B124" s="84">
        <v>41.7</v>
      </c>
      <c r="C124" s="63">
        <v>125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41.7</v>
      </c>
      <c r="I124" s="6">
        <f t="shared" si="14"/>
        <v>125</v>
      </c>
    </row>
    <row r="125" spans="1:9" s="2" customFormat="1" ht="18.75">
      <c r="A125" s="19" t="s">
        <v>103</v>
      </c>
      <c r="B125" s="84">
        <v>25.5</v>
      </c>
      <c r="C125" s="63">
        <v>76.6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25.5</v>
      </c>
      <c r="I125" s="6">
        <f t="shared" si="14"/>
        <v>76.6</v>
      </c>
    </row>
    <row r="126" spans="1:9" s="2" customFormat="1" ht="18.75">
      <c r="A126" s="19" t="s">
        <v>33</v>
      </c>
      <c r="B126" s="84">
        <v>136.2</v>
      </c>
      <c r="C126" s="63">
        <v>408.7</v>
      </c>
      <c r="D126" s="87">
        <f>21.4+1.2+34.6+22.6+3.4</f>
        <v>83.20000000000002</v>
      </c>
      <c r="E126" s="21">
        <f>D126/D102*100</f>
        <v>3.4087184529662418</v>
      </c>
      <c r="F126" s="6">
        <f t="shared" si="15"/>
        <v>61.08663729809106</v>
      </c>
      <c r="G126" s="6">
        <f t="shared" si="17"/>
        <v>20.35723024223147</v>
      </c>
      <c r="H126" s="6">
        <f t="shared" si="16"/>
        <v>52.99999999999997</v>
      </c>
      <c r="I126" s="6">
        <f t="shared" si="14"/>
        <v>325.5</v>
      </c>
    </row>
    <row r="127" spans="1:9" s="41" customFormat="1" ht="18">
      <c r="A127" s="42" t="s">
        <v>55</v>
      </c>
      <c r="B127" s="85">
        <v>114.5</v>
      </c>
      <c r="C127" s="54">
        <v>351.5</v>
      </c>
      <c r="D127" s="86">
        <f>21.4+1.2+34.6+22.6</f>
        <v>79.80000000000001</v>
      </c>
      <c r="E127" s="1">
        <f>D127/D126*100</f>
        <v>95.91346153846153</v>
      </c>
      <c r="F127" s="1">
        <f>D127/B127*100</f>
        <v>69.69432314410481</v>
      </c>
      <c r="G127" s="1">
        <f t="shared" si="17"/>
        <v>22.702702702702705</v>
      </c>
      <c r="H127" s="1">
        <f t="shared" si="16"/>
        <v>34.69999999999999</v>
      </c>
      <c r="I127" s="1">
        <f t="shared" si="14"/>
        <v>271.7</v>
      </c>
    </row>
    <row r="128" spans="1:9" s="41" customFormat="1" ht="18">
      <c r="A128" s="31" t="s">
        <v>34</v>
      </c>
      <c r="B128" s="85">
        <v>8.5</v>
      </c>
      <c r="C128" s="54">
        <v>15.5</v>
      </c>
      <c r="D128" s="86">
        <v>3.4</v>
      </c>
      <c r="E128" s="1">
        <f>D128/D126*100</f>
        <v>4.086538461538461</v>
      </c>
      <c r="F128" s="1">
        <f>D128/B128*100</f>
        <v>40</v>
      </c>
      <c r="G128" s="1">
        <f>D128/C128*100</f>
        <v>21.935483870967744</v>
      </c>
      <c r="H128" s="1">
        <f t="shared" si="16"/>
        <v>5.1</v>
      </c>
      <c r="I128" s="1">
        <f t="shared" si="14"/>
        <v>12.1</v>
      </c>
    </row>
    <row r="129" spans="1:9" s="2" customFormat="1" ht="18.75">
      <c r="A129" s="19" t="s">
        <v>28</v>
      </c>
      <c r="B129" s="84">
        <v>2094</v>
      </c>
      <c r="C129" s="63">
        <v>4188</v>
      </c>
      <c r="D129" s="87">
        <f>1513.1+580.9</f>
        <v>2094</v>
      </c>
      <c r="E129" s="21">
        <f>D129/D102*100</f>
        <v>85.79154375614554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2094</v>
      </c>
    </row>
    <row r="130" spans="1:12" s="2" customFormat="1" ht="18.75" hidden="1">
      <c r="A130" s="19" t="s">
        <v>22</v>
      </c>
      <c r="B130" s="84"/>
      <c r="C130" s="63"/>
      <c r="D130" s="87"/>
      <c r="E130" s="21">
        <f>D130/D102*100</f>
        <v>0</v>
      </c>
      <c r="F130" s="6" t="e">
        <f>D130/B130*100</f>
        <v>#DIV/0!</v>
      </c>
      <c r="G130" s="6" t="e">
        <f t="shared" si="17"/>
        <v>#DIV/0!</v>
      </c>
      <c r="H130" s="6">
        <f t="shared" si="16"/>
        <v>0</v>
      </c>
      <c r="I130" s="6">
        <f t="shared" si="14"/>
        <v>0</v>
      </c>
      <c r="K130" s="48"/>
      <c r="L130" s="48"/>
    </row>
    <row r="131" spans="1:12" s="2" customFormat="1" ht="19.5" customHeight="1" hidden="1">
      <c r="A131" s="19" t="s">
        <v>68</v>
      </c>
      <c r="B131" s="84"/>
      <c r="C131" s="63"/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63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38</v>
      </c>
      <c r="B133" s="88">
        <f>B41+B66+B69+B74+B76+B84+B98+B102+B96+B81+B94</f>
        <v>4592.5</v>
      </c>
      <c r="C133" s="88">
        <f>C41+C66+C69+C74+C76+C84+C98+C102+C96+C81+C94</f>
        <v>11683.7</v>
      </c>
      <c r="D133" s="63">
        <f>D41+D66+D69+D74+D76+D84+D98+D102+D96+D81+D94</f>
        <v>3008.5999999999995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105961.20000000001</v>
      </c>
      <c r="C134" s="57">
        <f>C6+C17+C31+C41+C49+C56+C66+C69+C74+C76+C84+C87+C92+C98+C102+C96+C81+C94+C43</f>
        <v>315789.9</v>
      </c>
      <c r="D134" s="57">
        <f>D6+D17+D31+D41+D49+D56+D66+D69+D74+D76+D84+D87+D92+D98+D102+D96+D81+D94+D43</f>
        <v>67661.8</v>
      </c>
      <c r="E134" s="40">
        <v>100</v>
      </c>
      <c r="F134" s="3">
        <f>D134/B134*100</f>
        <v>63.85526022732849</v>
      </c>
      <c r="G134" s="3">
        <f aca="true" t="shared" si="18" ref="G134:G140">D134/C134*100</f>
        <v>21.426207741286216</v>
      </c>
      <c r="H134" s="3">
        <f aca="true" t="shared" si="19" ref="H134:H140">B134-D134</f>
        <v>38299.40000000001</v>
      </c>
      <c r="I134" s="3">
        <f aca="true" t="shared" si="20" ref="I134:I140">C134-D134</f>
        <v>248128.10000000003</v>
      </c>
      <c r="K134" s="49"/>
      <c r="L134" s="50"/>
    </row>
    <row r="135" spans="1:12" ht="18.75">
      <c r="A135" s="25" t="s">
        <v>5</v>
      </c>
      <c r="B135" s="70">
        <f>B7+B18+B32+B50+B57+B88+B110+B114+B44+B127</f>
        <v>75061.3</v>
      </c>
      <c r="C135" s="70">
        <f>C7+C18+C32+C50+C57+C88+C110+C114+C44+C127</f>
        <v>227074.3</v>
      </c>
      <c r="D135" s="70">
        <f>D7+D18+D32+D50+D57+D88+D110+D114+D44+D127</f>
        <v>52517.100000000006</v>
      </c>
      <c r="E135" s="6">
        <f>D135/D134*100</f>
        <v>77.61706014324183</v>
      </c>
      <c r="F135" s="6">
        <f aca="true" t="shared" si="21" ref="F135:F146">D135/B135*100</f>
        <v>69.96561477086061</v>
      </c>
      <c r="G135" s="6">
        <f t="shared" si="18"/>
        <v>23.12771634658788</v>
      </c>
      <c r="H135" s="6">
        <f t="shared" si="19"/>
        <v>22544.199999999997</v>
      </c>
      <c r="I135" s="20">
        <f t="shared" si="20"/>
        <v>174557.19999999998</v>
      </c>
      <c r="K135" s="49"/>
      <c r="L135" s="50"/>
    </row>
    <row r="136" spans="1:12" ht="18.75">
      <c r="A136" s="25" t="s">
        <v>0</v>
      </c>
      <c r="B136" s="71">
        <f>B10+B21+B34+B53+B59+B89+B47+B128+B104+B107</f>
        <v>11560.699999999999</v>
      </c>
      <c r="C136" s="71">
        <f>C10+C21+C34+C53+C59+C89+C47+C128+C104+C107</f>
        <v>31832.1</v>
      </c>
      <c r="D136" s="71">
        <f>D10+D21+D34+D53+D59+D89+D47+D128+D104+D107</f>
        <v>827.7</v>
      </c>
      <c r="E136" s="6">
        <f>D136/D134*100</f>
        <v>1.223289950902873</v>
      </c>
      <c r="F136" s="6">
        <f t="shared" si="21"/>
        <v>7.1596010622194175</v>
      </c>
      <c r="G136" s="6">
        <f t="shared" si="18"/>
        <v>2.600205452986137</v>
      </c>
      <c r="H136" s="6">
        <f t="shared" si="19"/>
        <v>10732.999999999998</v>
      </c>
      <c r="I136" s="20">
        <f t="shared" si="20"/>
        <v>31004.399999999998</v>
      </c>
      <c r="K136" s="49"/>
      <c r="L136" s="106"/>
    </row>
    <row r="137" spans="1:12" ht="18.75">
      <c r="A137" s="25" t="s">
        <v>1</v>
      </c>
      <c r="B137" s="70">
        <f>B20+B9+B52+B46+B58+B33+B99</f>
        <v>3487.3</v>
      </c>
      <c r="C137" s="70">
        <f>C20+C9+C52+C46+C58+C33+C99</f>
        <v>10146.300000000001</v>
      </c>
      <c r="D137" s="70">
        <f>D20+D9+D52+D46+D58+D33+D99</f>
        <v>2616.7999999999997</v>
      </c>
      <c r="E137" s="6">
        <f>D137/D134*100</f>
        <v>3.867470271260888</v>
      </c>
      <c r="F137" s="6">
        <f t="shared" si="21"/>
        <v>75.03799501046655</v>
      </c>
      <c r="G137" s="6">
        <f t="shared" si="18"/>
        <v>25.79068231769216</v>
      </c>
      <c r="H137" s="6">
        <f t="shared" si="19"/>
        <v>870.5000000000005</v>
      </c>
      <c r="I137" s="20">
        <f t="shared" si="20"/>
        <v>7529.500000000002</v>
      </c>
      <c r="K137" s="49"/>
      <c r="L137" s="50"/>
    </row>
    <row r="138" spans="1:12" ht="21" customHeight="1">
      <c r="A138" s="25" t="s">
        <v>15</v>
      </c>
      <c r="B138" s="70">
        <f>B11+B22+B100+B60+B36+B90</f>
        <v>938.6999999999999</v>
      </c>
      <c r="C138" s="70">
        <f>C11+C22+C100+C60+C36+C90</f>
        <v>3397.9</v>
      </c>
      <c r="D138" s="70">
        <f>D11+D22+D100+D60+D36+D90</f>
        <v>706.7</v>
      </c>
      <c r="E138" s="6">
        <f>D138/D134*100</f>
        <v>1.044459355204857</v>
      </c>
      <c r="F138" s="6">
        <f t="shared" si="21"/>
        <v>75.28496857355918</v>
      </c>
      <c r="G138" s="6">
        <f t="shared" si="18"/>
        <v>20.798140027664147</v>
      </c>
      <c r="H138" s="6">
        <f t="shared" si="19"/>
        <v>231.9999999999999</v>
      </c>
      <c r="I138" s="20">
        <f t="shared" si="20"/>
        <v>2691.2</v>
      </c>
      <c r="K138" s="49"/>
      <c r="L138" s="106"/>
    </row>
    <row r="139" spans="1:12" ht="18.75">
      <c r="A139" s="25" t="s">
        <v>2</v>
      </c>
      <c r="B139" s="70">
        <f>B8+B19+B45+B51</f>
        <v>1052.9</v>
      </c>
      <c r="C139" s="70">
        <f>C8+C19+C45+C51</f>
        <v>3438.4</v>
      </c>
      <c r="D139" s="70">
        <f>D8+D19+D45+D51</f>
        <v>418.80000000000007</v>
      </c>
      <c r="E139" s="6">
        <f>D139/D134*100</f>
        <v>0.6189607725481735</v>
      </c>
      <c r="F139" s="6">
        <f t="shared" si="21"/>
        <v>39.77585715642512</v>
      </c>
      <c r="G139" s="6">
        <f t="shared" si="18"/>
        <v>12.180083759888321</v>
      </c>
      <c r="H139" s="6">
        <f t="shared" si="19"/>
        <v>634.1</v>
      </c>
      <c r="I139" s="20">
        <f t="shared" si="20"/>
        <v>3019.6</v>
      </c>
      <c r="K139" s="49"/>
      <c r="L139" s="50"/>
    </row>
    <row r="140" spans="1:12" ht="19.5" thickBot="1">
      <c r="A140" s="25" t="s">
        <v>36</v>
      </c>
      <c r="B140" s="70">
        <f>B134-B135-B136-B137-B138-B139</f>
        <v>13860.300000000012</v>
      </c>
      <c r="C140" s="70">
        <f>C134-C135-C136-C137-C138-C139</f>
        <v>39900.90000000003</v>
      </c>
      <c r="D140" s="70">
        <f>D134-D135-D136-D137-D138-D139</f>
        <v>10574.699999999997</v>
      </c>
      <c r="E140" s="6">
        <f>D140/D134*100</f>
        <v>15.628759506841375</v>
      </c>
      <c r="F140" s="6">
        <f t="shared" si="21"/>
        <v>76.29488539209099</v>
      </c>
      <c r="G140" s="46">
        <f t="shared" si="18"/>
        <v>26.502409720081477</v>
      </c>
      <c r="H140" s="6">
        <f t="shared" si="19"/>
        <v>3285.600000000015</v>
      </c>
      <c r="I140" s="6">
        <f t="shared" si="20"/>
        <v>29326.200000000033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 hidden="1">
      <c r="A142" s="34" t="s">
        <v>21</v>
      </c>
      <c r="B142" s="91"/>
      <c r="C142" s="77"/>
      <c r="D142" s="77"/>
      <c r="E142" s="16"/>
      <c r="F142" s="6" t="e">
        <f t="shared" si="21"/>
        <v>#DIV/0!</v>
      </c>
      <c r="G142" s="6" t="e">
        <f aca="true" t="shared" si="22" ref="G142:G151">D142/C142*100</f>
        <v>#DIV/0!</v>
      </c>
      <c r="H142" s="6">
        <f>B142-D142</f>
        <v>0</v>
      </c>
      <c r="I142" s="6">
        <f aca="true" t="shared" si="23" ref="I142:I151">C142-D142</f>
        <v>0</v>
      </c>
      <c r="J142" s="109"/>
      <c r="K142" s="49"/>
      <c r="L142" s="49"/>
    </row>
    <row r="143" spans="1:12" ht="18.75" hidden="1">
      <c r="A143" s="25" t="s">
        <v>23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 hidden="1">
      <c r="A144" s="25" t="s">
        <v>64</v>
      </c>
      <c r="B144" s="92"/>
      <c r="C144" s="70"/>
      <c r="D144" s="70"/>
      <c r="E144" s="6"/>
      <c r="F144" s="6" t="e">
        <f t="shared" si="21"/>
        <v>#DIV/0!</v>
      </c>
      <c r="G144" s="6" t="e">
        <f t="shared" si="22"/>
        <v>#DIV/0!</v>
      </c>
      <c r="H144" s="6">
        <f t="shared" si="24"/>
        <v>0</v>
      </c>
      <c r="I144" s="6">
        <f t="shared" si="23"/>
        <v>0</v>
      </c>
      <c r="K144" s="49"/>
      <c r="L144" s="49"/>
    </row>
    <row r="145" spans="1:12" ht="37.5" hidden="1">
      <c r="A145" s="25" t="s">
        <v>73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1460.2</v>
      </c>
      <c r="C146" s="70">
        <v>4380.6</v>
      </c>
      <c r="D146" s="70">
        <f>368.2+450.3</f>
        <v>818.5</v>
      </c>
      <c r="E146" s="21"/>
      <c r="F146" s="6">
        <f t="shared" si="21"/>
        <v>56.053965210245174</v>
      </c>
      <c r="G146" s="6">
        <f t="shared" si="22"/>
        <v>18.684655070081725</v>
      </c>
      <c r="H146" s="6">
        <f t="shared" si="24"/>
        <v>641.7</v>
      </c>
      <c r="I146" s="6">
        <f t="shared" si="23"/>
        <v>3562.1000000000004</v>
      </c>
      <c r="K146" s="49"/>
      <c r="L146" s="49"/>
    </row>
    <row r="147" spans="1:12" ht="18.75">
      <c r="A147" s="25" t="s">
        <v>27</v>
      </c>
      <c r="B147" s="92">
        <v>18.5</v>
      </c>
      <c r="C147" s="70">
        <v>55.4</v>
      </c>
      <c r="D147" s="70"/>
      <c r="E147" s="21"/>
      <c r="F147" s="6">
        <f>D147/B147*100</f>
        <v>0</v>
      </c>
      <c r="G147" s="6">
        <f t="shared" si="22"/>
        <v>0</v>
      </c>
      <c r="H147" s="6">
        <f t="shared" si="24"/>
        <v>18.5</v>
      </c>
      <c r="I147" s="6">
        <f t="shared" si="23"/>
        <v>55.4</v>
      </c>
      <c r="K147" s="49"/>
      <c r="L147" s="49"/>
    </row>
    <row r="148" spans="1:9" ht="18.75" hidden="1">
      <c r="A148" s="25" t="s">
        <v>54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>
      <c r="A149" s="25" t="s">
        <v>71</v>
      </c>
      <c r="B149" s="92">
        <v>604</v>
      </c>
      <c r="C149" s="70">
        <v>1812</v>
      </c>
      <c r="D149" s="70"/>
      <c r="E149" s="21"/>
      <c r="F149" s="6">
        <f>D149/B149*100</f>
        <v>0</v>
      </c>
      <c r="G149" s="6">
        <f t="shared" si="22"/>
        <v>0</v>
      </c>
      <c r="H149" s="6">
        <f t="shared" si="24"/>
        <v>604</v>
      </c>
      <c r="I149" s="6">
        <f t="shared" si="23"/>
        <v>1812</v>
      </c>
    </row>
    <row r="150" spans="1:9" ht="19.5" thickBot="1">
      <c r="A150" s="25" t="s">
        <v>65</v>
      </c>
      <c r="B150" s="92">
        <v>1176.1</v>
      </c>
      <c r="C150" s="93">
        <v>3528.2</v>
      </c>
      <c r="D150" s="93"/>
      <c r="E150" s="26"/>
      <c r="F150" s="6">
        <f>D150/B150*100</f>
        <v>0</v>
      </c>
      <c r="G150" s="6">
        <f t="shared" si="22"/>
        <v>0</v>
      </c>
      <c r="H150" s="6">
        <f t="shared" si="24"/>
        <v>1176.1</v>
      </c>
      <c r="I150" s="6">
        <f t="shared" si="23"/>
        <v>3528.2</v>
      </c>
    </row>
    <row r="151" spans="1:9" ht="19.5" thickBot="1">
      <c r="A151" s="15" t="s">
        <v>20</v>
      </c>
      <c r="B151" s="94">
        <f>B134+B142+B146+B147+B143+B150+B149+B144+B148+B145</f>
        <v>109220.00000000001</v>
      </c>
      <c r="C151" s="94">
        <f>C134+C142+C146+C147+C143+C150+C149+C144+C148+C145</f>
        <v>325566.10000000003</v>
      </c>
      <c r="D151" s="94">
        <f>D134+D142+D146+D147+D143+D150+D149+D144+D148+D145</f>
        <v>68480.3</v>
      </c>
      <c r="E151" s="27"/>
      <c r="F151" s="3">
        <f>D151/B151*100</f>
        <v>62.69941402673502</v>
      </c>
      <c r="G151" s="3">
        <f t="shared" si="22"/>
        <v>21.03422315775506</v>
      </c>
      <c r="H151" s="3">
        <f>B151-D151</f>
        <v>40739.70000000001</v>
      </c>
      <c r="I151" s="3">
        <f t="shared" si="23"/>
        <v>257085.80000000005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4" right="0.16" top="0.29" bottom="0.18" header="0.2" footer="0.18"/>
  <pageSetup fitToHeight="2" fitToWidth="1"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67661.8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67661.8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2014-01-31T12:26:39Z</cp:lastPrinted>
  <dcterms:created xsi:type="dcterms:W3CDTF">2000-06-20T04:48:00Z</dcterms:created>
  <dcterms:modified xsi:type="dcterms:W3CDTF">2014-02-18T15:49:05Z</dcterms:modified>
  <cp:category/>
  <cp:version/>
  <cp:contentType/>
  <cp:contentStatus/>
</cp:coreProperties>
</file>